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tup" sheetId="1" r:id="rId1"/>
    <sheet name="Carlo Problems" sheetId="2" r:id="rId2"/>
    <sheet name="Overtaking" sheetId="3" r:id="rId3"/>
    <sheet name="Rolling Stones" sheetId="4" r:id="rId4"/>
    <sheet name="Two-Way FreeFall" sheetId="5" r:id="rId5"/>
    <sheet name="FedEx Problems" sheetId="6" r:id="rId6"/>
    <sheet name="Cannon Towershot" sheetId="7" r:id="rId7"/>
    <sheet name="Vector Addition" sheetId="8" r:id="rId8"/>
    <sheet name="Elevator Problems" sheetId="9" r:id="rId9"/>
    <sheet name="Angle of Repose" sheetId="10" r:id="rId10"/>
    <sheet name="FBD - Horizontal Hila" sheetId="11" r:id="rId11"/>
    <sheet name="FBD - Blackboard Press" sheetId="12" r:id="rId12"/>
    <sheet name="FBD - Starbox" sheetId="13" r:id="rId13"/>
    <sheet name="FBD - Painter Problem" sheetId="14" r:id="rId14"/>
    <sheet name="Force, Displacement, Work" sheetId="15" r:id="rId15"/>
    <sheet name="Running Man" sheetId="16" r:id="rId16"/>
    <sheet name="Efficiency of Machines" sheetId="17" r:id="rId17"/>
    <sheet name="Collisions (Momentum)" sheetId="18" r:id="rId18"/>
    <sheet name="Series &amp; Parallel" sheetId="19" r:id="rId19"/>
    <sheet name="Kinetic (Grav)" sheetId="20" r:id="rId20"/>
    <sheet name="Kinetic (Elastic)" sheetId="21" r:id="rId21"/>
  </sheets>
  <definedNames/>
  <calcPr fullCalcOnLoad="1"/>
</workbook>
</file>

<file path=xl/comments16.xml><?xml version="1.0" encoding="utf-8"?>
<comments xmlns="http://schemas.openxmlformats.org/spreadsheetml/2006/main">
  <authors>
    <author> </author>
  </authors>
  <commentList>
    <comment ref="C9" authorId="0">
      <text>
        <r>
          <rPr>
            <sz val="8"/>
            <color indexed="8"/>
            <rFont val="Tahoma"/>
            <family val="2"/>
          </rPr>
          <t xml:space="preserve">Formula for this is:
</t>
        </r>
        <r>
          <rPr>
            <b/>
            <sz val="8"/>
            <color indexed="8"/>
            <rFont val="Tahoma"/>
            <family val="2"/>
          </rPr>
          <t xml:space="preserve">number </t>
        </r>
        <r>
          <rPr>
            <sz val="8"/>
            <color indexed="8"/>
            <rFont val="Tahoma"/>
            <family val="2"/>
          </rPr>
          <t xml:space="preserve">of steps times </t>
        </r>
        <r>
          <rPr>
            <b/>
            <sz val="8"/>
            <color indexed="8"/>
            <rFont val="Tahoma"/>
            <family val="2"/>
          </rPr>
          <t>height</t>
        </r>
        <r>
          <rPr>
            <sz val="8"/>
            <color indexed="8"/>
            <rFont val="Tahoma"/>
            <family val="2"/>
          </rPr>
          <t xml:space="preserve"> of each step.
In our case, 20 steps, 0.18m per step, 20 x 0.18, that's 3.6m.</t>
        </r>
      </text>
    </comment>
  </commentList>
</comments>
</file>

<file path=xl/sharedStrings.xml><?xml version="1.0" encoding="utf-8"?>
<sst xmlns="http://schemas.openxmlformats.org/spreadsheetml/2006/main" count="373" uniqueCount="270">
  <si>
    <t>gravity constant</t>
  </si>
  <si>
    <r>
      <rPr>
        <sz val="11"/>
        <color indexed="8"/>
        <rFont val="Calibri"/>
        <family val="2"/>
      </rPr>
      <t>m/s</t>
    </r>
    <r>
      <rPr>
        <vertAlign val="superscript"/>
        <sz val="11"/>
        <color indexed="8"/>
        <rFont val="Calibri"/>
        <family val="2"/>
      </rPr>
      <t>2</t>
    </r>
  </si>
  <si>
    <t>Carlo is driving along at</t>
  </si>
  <si>
    <t>m/s</t>
  </si>
  <si>
    <t>plot1</t>
  </si>
  <si>
    <t>when he sees a stalled truck</t>
  </si>
  <si>
    <t>m</t>
  </si>
  <si>
    <t>plot2</t>
  </si>
  <si>
    <t>It takes Carlo</t>
  </si>
  <si>
    <t>s</t>
  </si>
  <si>
    <t>plot3</t>
  </si>
  <si>
    <t>to react before stepping on the brakes</t>
  </si>
  <si>
    <t>which provides an acceleration of</t>
  </si>
  <si>
    <t>m/s2</t>
  </si>
  <si>
    <t>How far did Carlo travel before stepping on the brakes?</t>
  </si>
  <si>
    <t>equation 4: d = Vit +(1/2)at^2</t>
  </si>
  <si>
    <t>substitute:</t>
  </si>
  <si>
    <t>How long did it take Carlo to stop after stepping on the brakes?</t>
  </si>
  <si>
    <t>equation 1: Vf = at + Vi</t>
  </si>
  <si>
    <t>How far did Carlo travel after he stepped on the brakes?</t>
  </si>
  <si>
    <t>equation 3: (Vf)^2 = (Vi)^2 + 2ad</t>
  </si>
  <si>
    <t>Will Carlo survive, or is it "Goodbye, Carlo!"?</t>
  </si>
  <si>
    <t>Vi
(m/s)</t>
  </si>
  <si>
    <t>a
(m/s2)</t>
  </si>
  <si>
    <t>disp</t>
  </si>
  <si>
    <t>displacement of car (equation 4):</t>
  </si>
  <si>
    <t>(m)</t>
  </si>
  <si>
    <t>CAR</t>
  </si>
  <si>
    <t>TRUCK</t>
  </si>
  <si>
    <t>displacement of truck (equation 4):</t>
  </si>
  <si>
    <t>truck leads by</t>
  </si>
  <si>
    <t>how long before
second rock
was dropped?</t>
  </si>
  <si>
    <t>initial
velocity</t>
  </si>
  <si>
    <t>ROCK 1</t>
  </si>
  <si>
    <t>TIME</t>
  </si>
  <si>
    <t>ROCK 2</t>
  </si>
  <si>
    <t>VELOCITY</t>
  </si>
  <si>
    <t>DISPLACEMENT</t>
  </si>
  <si>
    <t>TWO-WAY FREE FALL</t>
  </si>
  <si>
    <t>solving time til
max height</t>
  </si>
  <si>
    <t>solving for
total time</t>
  </si>
  <si>
    <t>solving for
max height</t>
  </si>
  <si>
    <t>initial velocity</t>
  </si>
  <si>
    <t>time to reach max height</t>
  </si>
  <si>
    <t>vi/g</t>
  </si>
  <si>
    <t>2vi/g</t>
  </si>
  <si>
    <t>vi^2/2g</t>
  </si>
  <si>
    <t>total time</t>
  </si>
  <si>
    <t>maximum height</t>
  </si>
  <si>
    <t>gravity</t>
  </si>
  <si>
    <t>ACCELERATION</t>
  </si>
  <si>
    <t>A helicopter is hovering over above a spot on
the road called “Ground Zero” at a given height</t>
  </si>
  <si>
    <t>A motorcycle with an open sidecar is
moving towards “Ground Zero” with a velocity</t>
  </si>
  <si>
    <t>When the motorcycle is at a distance</t>
  </si>
  <si>
    <t>away from "Ground Zero",  a man on the helicopter drops the package.</t>
  </si>
  <si>
    <t>How long will it take the package to drop straight down to the ground below?</t>
  </si>
  <si>
    <t>What distance did the motorcycle travel during the time the package fell?</t>
  </si>
  <si>
    <t>Did the package land into the motorcycle sidecar?</t>
  </si>
  <si>
    <t>A cannon is positioned atop a tall tower</t>
  </si>
  <si>
    <t>m high.</t>
  </si>
  <si>
    <t>The cannon fires its shells horizontally with a velocity of</t>
  </si>
  <si>
    <t>m/s.</t>
  </si>
  <si>
    <t xml:space="preserve"> A tank is charging towards the tower with a velocity of</t>
  </si>
  <si>
    <t>When the tank is</t>
  </si>
  <si>
    <t xml:space="preserve"> m away from the base of the tower, the cannon fires.</t>
  </si>
  <si>
    <t>How long did it take for a shell fired to fall to the ground below?</t>
  </si>
  <si>
    <t>equation 4: d = Vit + (1/2)at^2</t>
  </si>
  <si>
    <t>How far from the base of the tower did the shell land?</t>
  </si>
  <si>
    <t>How much distance did the tank travel from the time the cannon fired its shell?</t>
  </si>
  <si>
    <t>How far from the base of the tower was the tank when the shell hit the ground?</t>
  </si>
  <si>
    <t>distance[FINAL] = distance[ORIG] - distance[NEW]</t>
  </si>
  <si>
    <t>distance[SHELL and TANK] = distance[TANK] - distance[SHELL]</t>
  </si>
  <si>
    <t>inc
angle</t>
  </si>
  <si>
    <t>X</t>
  </si>
  <si>
    <t>Y</t>
  </si>
  <si>
    <t>coords-x</t>
  </si>
  <si>
    <t>coords-y</t>
  </si>
  <si>
    <t>mag</t>
  </si>
  <si>
    <t>dir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</si>
  <si>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</si>
  <si>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</si>
  <si>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</si>
  <si>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</si>
  <si>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</si>
  <si>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</si>
  <si>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</si>
  <si>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</si>
  <si>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</si>
  <si>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</si>
  <si>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</t>
  </si>
  <si>
    <t>Y / X</t>
  </si>
  <si>
    <t>tan-1(Y/X)</t>
  </si>
  <si>
    <t>Gravity is</t>
  </si>
  <si>
    <r>
      <rPr>
        <sz val="11"/>
        <color indexed="42"/>
        <rFont val="Calibri"/>
        <family val="2"/>
      </rPr>
      <t>m/s</t>
    </r>
    <r>
      <rPr>
        <vertAlign val="superscript"/>
        <sz val="11"/>
        <color indexed="42"/>
        <rFont val="Calibri"/>
        <family val="2"/>
      </rPr>
      <t>2</t>
    </r>
  </si>
  <si>
    <t>An elevator has a mass of</t>
  </si>
  <si>
    <t>kg</t>
  </si>
  <si>
    <t>Calculate the tension of the cable if the elevator is moving at an acceleration of</t>
  </si>
  <si>
    <r>
      <rPr>
        <sz val="11"/>
        <color indexed="11"/>
        <rFont val="Calibri"/>
        <family val="2"/>
      </rPr>
      <t>m/s</t>
    </r>
    <r>
      <rPr>
        <vertAlign val="superscript"/>
        <sz val="11"/>
        <color indexed="11"/>
        <rFont val="Calibri"/>
        <family val="2"/>
      </rPr>
      <t>2</t>
    </r>
  </si>
  <si>
    <t>d</t>
  </si>
  <si>
    <t>Law of Acceleration: f = ma</t>
  </si>
  <si>
    <t>F[net] = Fw - T</t>
  </si>
  <si>
    <t>Calculate the magnitude and direction if the tension is</t>
  </si>
  <si>
    <t>N</t>
  </si>
  <si>
    <t>μ</t>
  </si>
  <si>
    <t>angle of inclination</t>
  </si>
  <si>
    <r>
      <rPr>
        <sz val="11"/>
        <color indexed="35"/>
        <rFont val="Calibri"/>
        <family val="2"/>
      </rPr>
      <t>tan</t>
    </r>
    <r>
      <rPr>
        <vertAlign val="superscript"/>
        <sz val="11"/>
        <color indexed="45"/>
        <rFont val="Calibri"/>
        <family val="2"/>
      </rPr>
      <t>-1</t>
    </r>
    <r>
      <rPr>
        <sz val="11"/>
        <color indexed="45"/>
        <rFont val="Calibri"/>
        <family val="2"/>
      </rPr>
      <t>(</t>
    </r>
  </si>
  <si>
    <t>)</t>
  </si>
  <si>
    <t>Horizontal Hila</t>
  </si>
  <si>
    <t>Solve for Tx.</t>
  </si>
  <si>
    <t>Solve for Ty.</t>
  </si>
  <si>
    <t>Set up the equations.</t>
  </si>
  <si>
    <t>HOR</t>
  </si>
  <si>
    <t>Ff = Tx</t>
  </si>
  <si>
    <t xml:space="preserve">A </t>
  </si>
  <si>
    <t>kg box</t>
  </si>
  <si>
    <t>VERT</t>
  </si>
  <si>
    <t>is dragged across the table top</t>
  </si>
  <si>
    <t>u =</t>
  </si>
  <si>
    <t>by a</t>
  </si>
  <si>
    <t>Solve for Fw.</t>
  </si>
  <si>
    <t>rope which makes</t>
  </si>
  <si>
    <t>degrees to the horizontal.</t>
  </si>
  <si>
    <t>The tension is</t>
  </si>
  <si>
    <t>N.</t>
  </si>
  <si>
    <t>Solve for Fn.</t>
  </si>
  <si>
    <r>
      <rPr>
        <sz val="11"/>
        <color indexed="42"/>
        <rFont val="Calibri"/>
        <family val="2"/>
      </rPr>
      <t>FBD (F</t>
    </r>
    <r>
      <rPr>
        <vertAlign val="subscript"/>
        <sz val="11"/>
        <color indexed="42"/>
        <rFont val="Calibri"/>
        <family val="2"/>
      </rPr>
      <t>net</t>
    </r>
    <r>
      <rPr>
        <sz val="11"/>
        <color indexed="42"/>
        <rFont val="Calibri"/>
        <family val="2"/>
      </rPr>
      <t xml:space="preserve"> only)</t>
    </r>
  </si>
  <si>
    <t>Solve for Ff.</t>
  </si>
  <si>
    <t>Ff = (Fn)(u)</t>
  </si>
  <si>
    <t>FBD (Tx and Ty)</t>
  </si>
  <si>
    <t>Solve for Fnet.</t>
  </si>
  <si>
    <t>Fnet = Tx - Ff</t>
  </si>
  <si>
    <t>Solve for acceleration.</t>
  </si>
  <si>
    <t>Fnet = ma</t>
  </si>
  <si>
    <t>Blackboard Press</t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</si>
  <si>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a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N</t>
    </r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</si>
  <si>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w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f</t>
    </r>
  </si>
  <si>
    <t>Solve for the Fw (weight of the book).</t>
  </si>
  <si>
    <t>Fw = (m)(a)</t>
  </si>
  <si>
    <t>A palm presses a</t>
  </si>
  <si>
    <t>against the blackboard.</t>
  </si>
  <si>
    <t>Solve for Fapplied.</t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</si>
  <si>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f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w</t>
    </r>
  </si>
  <si>
    <r>
      <rPr>
        <sz val="11"/>
        <color indexed="22"/>
        <rFont val="Calibri"/>
        <family val="2"/>
      </rPr>
      <t>FBD (F</t>
    </r>
    <r>
      <rPr>
        <vertAlign val="subscript"/>
        <sz val="11"/>
        <color indexed="22"/>
        <rFont val="Calibri"/>
        <family val="2"/>
      </rPr>
      <t>net</t>
    </r>
    <r>
      <rPr>
        <sz val="11"/>
        <color indexed="22"/>
        <rFont val="Calibri"/>
        <family val="2"/>
      </rPr>
      <t xml:space="preserve"> only)</t>
    </r>
  </si>
  <si>
    <r>
      <rPr>
        <b/>
        <sz val="11"/>
        <color indexed="51"/>
        <rFont val="Calibri"/>
        <family val="2"/>
      </rPr>
      <t>F</t>
    </r>
    <r>
      <rPr>
        <b/>
        <vertAlign val="subscript"/>
        <sz val="11"/>
        <color indexed="51"/>
        <rFont val="Calibri"/>
        <family val="2"/>
      </rPr>
      <t>N</t>
    </r>
    <r>
      <rPr>
        <b/>
        <sz val="11"/>
        <color indexed="51"/>
        <rFont val="Calibri"/>
        <family val="2"/>
      </rPr>
      <t xml:space="preserve"> = F</t>
    </r>
    <r>
      <rPr>
        <b/>
        <vertAlign val="subscript"/>
        <sz val="11"/>
        <color indexed="51"/>
        <rFont val="Calibri"/>
        <family val="2"/>
      </rPr>
      <t>f</t>
    </r>
    <r>
      <rPr>
        <b/>
        <sz val="11"/>
        <color indexed="51"/>
        <rFont val="Calibri"/>
        <family val="2"/>
      </rPr>
      <t xml:space="preserve"> / u</t>
    </r>
  </si>
  <si>
    <t>Starbox</t>
  </si>
  <si>
    <t>Solve for the angle of repose.</t>
  </si>
  <si>
    <t>Describe the motion of the block.</t>
  </si>
  <si>
    <t>Set up the equations</t>
  </si>
  <si>
    <t>PARALLEL</t>
  </si>
  <si>
    <t>Fw// = Ff</t>
  </si>
  <si>
    <t>block</t>
  </si>
  <si>
    <t>PERPENDICULAR</t>
  </si>
  <si>
    <r>
      <rPr>
        <sz val="11"/>
        <color indexed="28"/>
        <rFont val="Calibri"/>
        <family val="2"/>
      </rPr>
      <t>Fw</t>
    </r>
    <r>
      <rPr>
        <sz val="11"/>
        <color indexed="28"/>
        <rFont val="Symbol"/>
        <family val="1"/>
      </rPr>
      <t>^</t>
    </r>
    <r>
      <rPr>
        <sz val="11"/>
        <color indexed="28"/>
        <rFont val="Calibri"/>
        <family val="2"/>
      </rPr>
      <t xml:space="preserve"> = Fn</t>
    </r>
  </si>
  <si>
    <t>is placed on an inclined plane</t>
  </si>
  <si>
    <t>which is titled</t>
  </si>
  <si>
    <t>at an angle of</t>
  </si>
  <si>
    <t>degs.</t>
  </si>
  <si>
    <r>
      <rPr>
        <sz val="11"/>
        <color indexed="46"/>
        <rFont val="Calibri"/>
        <family val="2"/>
      </rPr>
      <t>FBD (w// and w</t>
    </r>
    <r>
      <rPr>
        <u val="single"/>
        <sz val="11"/>
        <color indexed="46"/>
        <rFont val="Calibri"/>
        <family val="2"/>
      </rPr>
      <t xml:space="preserve">  |  </t>
    </r>
    <r>
      <rPr>
        <sz val="11"/>
        <color indexed="46"/>
        <rFont val="Calibri"/>
        <family val="2"/>
      </rPr>
      <t>)</t>
    </r>
  </si>
  <si>
    <t>Solve for Fw//.</t>
  </si>
  <si>
    <r>
      <rPr>
        <sz val="11"/>
        <color indexed="46"/>
        <rFont val="Calibri"/>
        <family val="2"/>
      </rPr>
      <t>Solve for Fw</t>
    </r>
    <r>
      <rPr>
        <u val="single"/>
        <sz val="11"/>
        <color indexed="46"/>
        <rFont val="Calibri"/>
        <family val="2"/>
      </rPr>
      <t xml:space="preserve">  |  </t>
    </r>
    <r>
      <rPr>
        <sz val="11"/>
        <color indexed="46"/>
        <rFont val="Calibri"/>
        <family val="2"/>
      </rPr>
      <t>.</t>
    </r>
  </si>
  <si>
    <r>
      <rPr>
        <sz val="11"/>
        <color indexed="46"/>
        <rFont val="Calibri"/>
        <family val="2"/>
      </rPr>
      <t>Solve for F</t>
    </r>
    <r>
      <rPr>
        <vertAlign val="subscript"/>
        <sz val="11"/>
        <color indexed="46"/>
        <rFont val="Calibri"/>
        <family val="2"/>
      </rPr>
      <t>N</t>
    </r>
    <r>
      <rPr>
        <sz val="11"/>
        <color indexed="46"/>
        <rFont val="Calibri"/>
        <family val="2"/>
      </rPr>
      <t>.</t>
    </r>
  </si>
  <si>
    <r>
      <rPr>
        <sz val="11"/>
        <color indexed="46"/>
        <rFont val="Calibri"/>
        <family val="2"/>
      </rPr>
      <t>F</t>
    </r>
    <r>
      <rPr>
        <vertAlign val="subscript"/>
        <sz val="11"/>
        <color indexed="46"/>
        <rFont val="Calibri"/>
        <family val="2"/>
      </rPr>
      <t>net</t>
    </r>
  </si>
  <si>
    <r>
      <rPr>
        <sz val="11"/>
        <color indexed="28"/>
        <rFont val="Calibri"/>
        <family val="2"/>
      </rPr>
      <t>Fn = Fw</t>
    </r>
    <r>
      <rPr>
        <u val="single"/>
        <sz val="11"/>
        <color indexed="28"/>
        <rFont val="Calibri"/>
        <family val="2"/>
      </rPr>
      <t xml:space="preserve">  |  </t>
    </r>
  </si>
  <si>
    <r>
      <rPr>
        <sz val="11"/>
        <color indexed="46"/>
        <rFont val="Calibri"/>
        <family val="2"/>
      </rPr>
      <t>Solve for F</t>
    </r>
    <r>
      <rPr>
        <vertAlign val="subscript"/>
        <sz val="11"/>
        <color indexed="46"/>
        <rFont val="Calibri"/>
        <family val="2"/>
      </rPr>
      <t>f</t>
    </r>
    <r>
      <rPr>
        <sz val="11"/>
        <color indexed="46"/>
        <rFont val="Calibri"/>
        <family val="2"/>
      </rPr>
      <t>.</t>
    </r>
  </si>
  <si>
    <r>
      <rPr>
        <sz val="11"/>
        <color indexed="46"/>
        <rFont val="Calibri"/>
        <family val="2"/>
      </rPr>
      <t>Solve for F</t>
    </r>
    <r>
      <rPr>
        <vertAlign val="subscript"/>
        <sz val="11"/>
        <color indexed="46"/>
        <rFont val="Calibri"/>
        <family val="2"/>
      </rPr>
      <t>net</t>
    </r>
    <r>
      <rPr>
        <sz val="11"/>
        <color indexed="46"/>
        <rFont val="Calibri"/>
        <family val="2"/>
      </rPr>
      <t>.</t>
    </r>
  </si>
  <si>
    <t>Fnet = Fw// - Ff</t>
  </si>
  <si>
    <t>Solve for the acceleration of the block.</t>
  </si>
  <si>
    <t>Fnet = (m)(a)</t>
  </si>
  <si>
    <t>Painter Problem</t>
  </si>
  <si>
    <t xml:space="preserve">A painter weighing </t>
  </si>
  <si>
    <t>newtons.</t>
  </si>
  <si>
    <t>stands</t>
  </si>
  <si>
    <t>m to the right of the center</t>
  </si>
  <si>
    <t xml:space="preserve">of a </t>
  </si>
  <si>
    <t>m long plank</t>
  </si>
  <si>
    <t>supported at both ends by a rope.</t>
  </si>
  <si>
    <t>If another painter weighing</t>
  </si>
  <si>
    <t>newtons</t>
  </si>
  <si>
    <t>of the  plank which weighs</t>
  </si>
  <si>
    <t>newtons,</t>
  </si>
  <si>
    <t>Find the tension of both ropes.</t>
  </si>
  <si>
    <t>Set up the vertical thing equation.</t>
  </si>
  <si>
    <t>Set up the spinning equation using the left-most side of the plank as the pivot point.</t>
  </si>
  <si>
    <t>Solve for TR</t>
  </si>
  <si>
    <t>Solve for TL</t>
  </si>
  <si>
    <t>force exerted</t>
  </si>
  <si>
    <t>displacement</t>
  </si>
  <si>
    <t>work done</t>
  </si>
  <si>
    <t>W = Fd</t>
  </si>
  <si>
    <t>time</t>
  </si>
  <si>
    <t>power</t>
  </si>
  <si>
    <t>W</t>
  </si>
  <si>
    <t>convert power:</t>
  </si>
  <si>
    <t>Power = Work / Time</t>
  </si>
  <si>
    <t>x (1kW / 1000W)</t>
  </si>
  <si>
    <t>kW</t>
  </si>
  <si>
    <t>x (1hp / 746W)</t>
  </si>
  <si>
    <t>hp</t>
  </si>
  <si>
    <t>x (1000W / 1W)</t>
  </si>
  <si>
    <t>x (1000W / 1W) x (1hp / 746W)</t>
  </si>
  <si>
    <t>x (746W / 1hp)</t>
  </si>
  <si>
    <t>x (746W / 1hp) x (1kW / 1000W)</t>
  </si>
  <si>
    <t>mass of student</t>
  </si>
  <si>
    <t>F = ma</t>
  </si>
  <si>
    <t>time to go up</t>
  </si>
  <si>
    <t>vertical distance
travelled</t>
  </si>
  <si>
    <t>work output</t>
  </si>
  <si>
    <t>FORCE</t>
  </si>
  <si>
    <t>Wo = Fd</t>
  </si>
  <si>
    <t>distance</t>
  </si>
  <si>
    <t>work input</t>
  </si>
  <si>
    <t>force</t>
  </si>
  <si>
    <t>Wi = fD</t>
  </si>
  <si>
    <t>DISTANCE</t>
  </si>
  <si>
    <t>efficiency</t>
  </si>
  <si>
    <t>Wo / Wi = e</t>
  </si>
  <si>
    <t>kg player moving at</t>
  </si>
  <si>
    <t xml:space="preserve">m/s to the </t>
  </si>
  <si>
    <t>right</t>
  </si>
  <si>
    <t>colldies with</t>
  </si>
  <si>
    <t>a</t>
  </si>
  <si>
    <t>man moving at</t>
  </si>
  <si>
    <t>After collision, they get tangled up and move off as one with a common velocity.</t>
  </si>
  <si>
    <t>SOLVING FOR THE COMMON VELOCITY</t>
  </si>
  <si>
    <t>THE TABLE</t>
  </si>
  <si>
    <t>m1v1 + m2v2 = (m1 + m2)V</t>
  </si>
  <si>
    <t>MASS OF PLAYER</t>
  </si>
  <si>
    <t>INITIAL MOMENTUM</t>
  </si>
  <si>
    <t>FINAL MOMENTUM</t>
  </si>
  <si>
    <t>CHANGE IN MOMENTUM</t>
  </si>
  <si>
    <t>(kg m/s)</t>
  </si>
  <si>
    <t>SUM</t>
  </si>
  <si>
    <t>|------------------------- EQUAL -------------------------|</t>
  </si>
  <si>
    <t>ZERO</t>
  </si>
  <si>
    <t>^^^</t>
  </si>
  <si>
    <t>The two resistors are connected in</t>
  </si>
  <si>
    <t>___</t>
  </si>
  <si>
    <t>|i|i</t>
  </si>
  <si>
    <t xml:space="preserve">Vt = </t>
  </si>
  <si>
    <t xml:space="preserve">It = </t>
  </si>
  <si>
    <t xml:space="preserve">Rt = </t>
  </si>
  <si>
    <t xml:space="preserve">V1 = </t>
  </si>
  <si>
    <t xml:space="preserve">I1 = </t>
  </si>
  <si>
    <t xml:space="preserve">R1 = </t>
  </si>
  <si>
    <t xml:space="preserve">V2= </t>
  </si>
  <si>
    <t xml:space="preserve">I2= </t>
  </si>
  <si>
    <t xml:space="preserve">R2= </t>
  </si>
  <si>
    <t>A truck of mass</t>
  </si>
  <si>
    <t>is to be loaded on a ship by a crane</t>
  </si>
  <si>
    <t>that exerts an upward force of</t>
  </si>
  <si>
    <t>which lifts the truck by</t>
  </si>
  <si>
    <t>Find the work done by the crane.</t>
  </si>
  <si>
    <t>W = F•∆x = Fdcosθ</t>
  </si>
  <si>
    <t>Find the work done by the gravity.</t>
  </si>
  <si>
    <t>W = F•∆x</t>
  </si>
  <si>
    <t>Find the total work done on the truck.</t>
  </si>
  <si>
    <r>
      <rPr>
        <sz val="11"/>
        <color indexed="9"/>
        <rFont val="Calibri"/>
        <family val="2"/>
      </rPr>
      <t>W</t>
    </r>
    <r>
      <rPr>
        <vertAlign val="subscript"/>
        <sz val="11"/>
        <color indexed="9"/>
        <rFont val="Calibri"/>
        <family val="2"/>
      </rPr>
      <t>total</t>
    </r>
    <r>
      <rPr>
        <sz val="11"/>
        <color indexed="9"/>
        <rFont val="Calibri"/>
        <family val="2"/>
      </rPr>
      <t xml:space="preserve"> = ΣW</t>
    </r>
    <r>
      <rPr>
        <vertAlign val="subscript"/>
        <sz val="11"/>
        <color indexed="9"/>
        <rFont val="Calibri"/>
        <family val="2"/>
      </rPr>
      <t>i</t>
    </r>
  </si>
  <si>
    <t>If the truck is initially at rest on the ground, what is its speed after being lifted to 2m above the ground?</t>
  </si>
  <si>
    <r>
      <rPr>
        <sz val="11"/>
        <color indexed="9"/>
        <rFont val="Calibri"/>
        <family val="2"/>
      </rPr>
      <t>W</t>
    </r>
    <r>
      <rPr>
        <vertAlign val="subscript"/>
        <sz val="11"/>
        <color indexed="9"/>
        <rFont val="Calibri"/>
        <family val="2"/>
      </rPr>
      <t>total</t>
    </r>
    <r>
      <rPr>
        <sz val="11"/>
        <color indexed="9"/>
        <rFont val="Calibri"/>
        <family val="2"/>
      </rPr>
      <t xml:space="preserve"> = ∆K = (1/2)(m)(v</t>
    </r>
    <r>
      <rPr>
        <vertAlign val="subscript"/>
        <sz val="11"/>
        <color indexed="9"/>
        <rFont val="Calibri"/>
        <family val="2"/>
      </rPr>
      <t>f</t>
    </r>
    <r>
      <rPr>
        <sz val="11"/>
        <color indexed="9"/>
        <rFont val="Calibri"/>
        <family val="2"/>
      </rPr>
      <t>)-(1/2)(m)(v</t>
    </r>
    <r>
      <rPr>
        <vertAlign val="subscript"/>
        <sz val="11"/>
        <color indexed="9"/>
        <rFont val="Calibri"/>
        <family val="2"/>
      </rPr>
      <t>i</t>
    </r>
    <r>
      <rPr>
        <sz val="11"/>
        <color indexed="9"/>
        <rFont val="Calibri"/>
        <family val="2"/>
      </rPr>
      <t>)</t>
    </r>
  </si>
  <si>
    <t>block on a frictionless is attached</t>
  </si>
  <si>
    <t>to a spring with k =</t>
  </si>
  <si>
    <t>N/m</t>
  </si>
  <si>
    <t>The block is originally compressed with the block at</t>
  </si>
  <si>
    <r>
      <rPr>
        <b/>
        <sz val="11"/>
        <color indexed="44"/>
        <rFont val="Calibri"/>
        <family val="2"/>
      </rPr>
      <t>x</t>
    </r>
    <r>
      <rPr>
        <b/>
        <vertAlign val="subscript"/>
        <sz val="11"/>
        <color indexed="44"/>
        <rFont val="Calibri"/>
        <family val="2"/>
      </rPr>
      <t>1</t>
    </r>
    <r>
      <rPr>
        <b/>
        <sz val="11"/>
        <color indexed="44"/>
        <rFont val="Calibri"/>
        <family val="2"/>
      </rPr>
      <t xml:space="preserve"> = </t>
    </r>
  </si>
  <si>
    <t>cm</t>
  </si>
  <si>
    <t>The block is then released.</t>
  </si>
  <si>
    <r>
      <rPr>
        <b/>
        <sz val="11"/>
        <color indexed="9"/>
        <rFont val="Calibri"/>
        <family val="2"/>
      </rPr>
      <t>Find the work done by the spring on the block as the block moves
from x</t>
    </r>
    <r>
      <rPr>
        <b/>
        <vertAlign val="subscript"/>
        <sz val="11"/>
        <color indexed="9"/>
        <rFont val="Calibri"/>
        <family val="2"/>
      </rPr>
      <t>1</t>
    </r>
    <r>
      <rPr>
        <b/>
        <sz val="11"/>
        <color indexed="9"/>
        <rFont val="Calibri"/>
        <family val="2"/>
      </rPr>
      <t xml:space="preserve"> to x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= 0.</t>
    </r>
  </si>
  <si>
    <t>W = F•∆x = -k∆x • ∆x</t>
  </si>
  <si>
    <r>
      <rPr>
        <b/>
        <sz val="11"/>
        <color indexed="9"/>
        <rFont val="Calibri"/>
        <family val="2"/>
      </rPr>
      <t>Find the block's speed at x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= 0.</t>
    </r>
  </si>
  <si>
    <r>
      <rPr>
        <sz val="11"/>
        <color indexed="9"/>
        <rFont val="Calibri"/>
        <family val="2"/>
      </rPr>
      <t>W</t>
    </r>
    <r>
      <rPr>
        <vertAlign val="subscript"/>
        <sz val="11"/>
        <color indexed="9"/>
        <rFont val="Calibri"/>
        <family val="2"/>
      </rPr>
      <t>total</t>
    </r>
    <r>
      <rPr>
        <sz val="11"/>
        <color indexed="9"/>
        <rFont val="Calibri"/>
        <family val="2"/>
      </rPr>
      <t xml:space="preserve"> = ∆K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</si>
</sst>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General"/>
    <numFmt numFmtId="168" formatCode="0"/>
    <numFmt numFmtId="169" formatCode="0.0000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ourier New"/>
      <family val="3"/>
    </font>
    <font>
      <vertAlign val="superscript"/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44"/>
      <name val="Calibri"/>
      <family val="2"/>
    </font>
    <font>
      <b/>
      <sz val="11"/>
      <color indexed="52"/>
      <name val="Courier New"/>
      <family val="3"/>
    </font>
    <font>
      <sz val="11"/>
      <color indexed="31"/>
      <name val="Calibri"/>
      <family val="2"/>
    </font>
    <font>
      <b/>
      <i/>
      <sz val="11"/>
      <color indexed="9"/>
      <name val="Calibri"/>
      <family val="2"/>
    </font>
    <font>
      <b/>
      <sz val="26"/>
      <color indexed="24"/>
      <name val="Calibri"/>
      <family val="2"/>
    </font>
    <font>
      <sz val="11"/>
      <color indexed="24"/>
      <name val="Calibri"/>
      <family val="2"/>
    </font>
    <font>
      <b/>
      <sz val="20"/>
      <color indexed="24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ourier New"/>
      <family val="3"/>
    </font>
    <font>
      <b/>
      <sz val="26"/>
      <color indexed="57"/>
      <name val="Calibri"/>
      <family val="2"/>
    </font>
    <font>
      <sz val="11"/>
      <color indexed="19"/>
      <name val="Calibri"/>
      <family val="2"/>
    </font>
    <font>
      <sz val="11"/>
      <color indexed="43"/>
      <name val="Calibri"/>
      <family val="2"/>
    </font>
    <font>
      <sz val="28"/>
      <color indexed="19"/>
      <name val="Calibri"/>
      <family val="2"/>
    </font>
    <font>
      <sz val="22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49"/>
      <name val="Calibri"/>
      <family val="2"/>
    </font>
    <font>
      <b/>
      <sz val="11"/>
      <color indexed="21"/>
      <name val="Calibri"/>
      <family val="2"/>
    </font>
    <font>
      <sz val="11"/>
      <color indexed="45"/>
      <name val="Calibri"/>
      <family val="2"/>
    </font>
    <font>
      <b/>
      <sz val="11"/>
      <color indexed="29"/>
      <name val="Calibri"/>
      <family val="2"/>
    </font>
    <font>
      <sz val="11"/>
      <color indexed="42"/>
      <name val="Courier New"/>
      <family val="3"/>
    </font>
    <font>
      <sz val="11"/>
      <color indexed="51"/>
      <name val="Calibri"/>
      <family val="2"/>
    </font>
    <font>
      <b/>
      <sz val="26"/>
      <color indexed="60"/>
      <name val="Calibri"/>
      <family val="2"/>
    </font>
    <font>
      <b/>
      <sz val="36"/>
      <color indexed="60"/>
      <name val="Calibri"/>
      <family val="2"/>
    </font>
    <font>
      <sz val="11"/>
      <color indexed="26"/>
      <name val="Calibri"/>
      <family val="2"/>
    </font>
    <font>
      <sz val="11"/>
      <color indexed="26"/>
      <name val="Courier New"/>
      <family val="3"/>
    </font>
    <font>
      <b/>
      <sz val="24"/>
      <color indexed="15"/>
      <name val="Calibri"/>
      <family val="2"/>
    </font>
    <font>
      <sz val="11"/>
      <color indexed="15"/>
      <name val="Calibri"/>
      <family val="2"/>
    </font>
    <font>
      <b/>
      <sz val="36"/>
      <color indexed="15"/>
      <name val="Calibri"/>
      <family val="2"/>
    </font>
    <font>
      <sz val="11"/>
      <color indexed="42"/>
      <name val="Calibri"/>
      <family val="2"/>
    </font>
    <font>
      <vertAlign val="superscript"/>
      <sz val="11"/>
      <color indexed="42"/>
      <name val="Calibri"/>
      <family val="2"/>
    </font>
    <font>
      <b/>
      <sz val="11"/>
      <color indexed="11"/>
      <name val="Calibri"/>
      <family val="2"/>
    </font>
    <font>
      <sz val="11"/>
      <color indexed="11"/>
      <name val="Courier New"/>
      <family val="3"/>
    </font>
    <font>
      <sz val="11"/>
      <color indexed="11"/>
      <name val="Calibri"/>
      <family val="2"/>
    </font>
    <font>
      <vertAlign val="superscript"/>
      <sz val="11"/>
      <color indexed="11"/>
      <name val="Calibri"/>
      <family val="2"/>
    </font>
    <font>
      <b/>
      <sz val="14"/>
      <color indexed="17"/>
      <name val="Calibri"/>
      <family val="2"/>
    </font>
    <font>
      <sz val="11"/>
      <color indexed="3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ourier New"/>
      <family val="3"/>
    </font>
    <font>
      <vertAlign val="superscript"/>
      <sz val="11"/>
      <color indexed="45"/>
      <name val="Calibri"/>
      <family val="2"/>
    </font>
    <font>
      <b/>
      <sz val="14"/>
      <color indexed="35"/>
      <name val="Calibri"/>
      <family val="2"/>
    </font>
    <font>
      <sz val="14"/>
      <color indexed="57"/>
      <name val="Calibri"/>
      <family val="2"/>
    </font>
    <font>
      <b/>
      <sz val="11"/>
      <color indexed="57"/>
      <name val="Courier New"/>
      <family val="3"/>
    </font>
    <font>
      <vertAlign val="subscript"/>
      <sz val="11"/>
      <color indexed="42"/>
      <name val="Calibri"/>
      <family val="2"/>
    </font>
    <font>
      <sz val="11"/>
      <color indexed="22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vertAlign val="subscript"/>
      <sz val="11"/>
      <color indexed="51"/>
      <name val="Calibri"/>
      <family val="2"/>
    </font>
    <font>
      <sz val="14"/>
      <color indexed="16"/>
      <name val="Calibri"/>
      <family val="2"/>
    </font>
    <font>
      <b/>
      <sz val="11"/>
      <color indexed="51"/>
      <name val="Courier New"/>
      <family val="3"/>
    </font>
    <font>
      <vertAlign val="subscript"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28"/>
      <name val="Calibri"/>
      <family val="2"/>
    </font>
    <font>
      <sz val="14"/>
      <color indexed="8"/>
      <name val="Calibri"/>
      <family val="2"/>
    </font>
    <font>
      <b/>
      <sz val="11"/>
      <color indexed="28"/>
      <name val="Calibri"/>
      <family val="2"/>
    </font>
    <font>
      <b/>
      <sz val="11"/>
      <color indexed="28"/>
      <name val="Courier New"/>
      <family val="3"/>
    </font>
    <font>
      <sz val="11"/>
      <color indexed="28"/>
      <name val="Symbol"/>
      <family val="1"/>
    </font>
    <font>
      <u val="single"/>
      <sz val="11"/>
      <color indexed="46"/>
      <name val="Calibri"/>
      <family val="2"/>
    </font>
    <font>
      <vertAlign val="subscript"/>
      <sz val="11"/>
      <color indexed="46"/>
      <name val="Calibri"/>
      <family val="2"/>
    </font>
    <font>
      <u val="single"/>
      <sz val="11"/>
      <color indexed="28"/>
      <name val="Calibri"/>
      <family val="2"/>
    </font>
    <font>
      <sz val="11"/>
      <color indexed="29"/>
      <name val="Calibri"/>
      <family val="2"/>
    </font>
    <font>
      <sz val="10"/>
      <color indexed="9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9"/>
      <name val="Courier New"/>
      <family val="3"/>
    </font>
    <font>
      <sz val="11"/>
      <color indexed="44"/>
      <name val="Calibri"/>
      <family val="2"/>
    </font>
    <font>
      <sz val="48"/>
      <color indexed="8"/>
      <name val="Calibri"/>
      <family val="2"/>
    </font>
    <font>
      <sz val="24"/>
      <color indexed="8"/>
      <name val="Calibri"/>
      <family val="2"/>
    </font>
    <font>
      <vertAlign val="subscript"/>
      <sz val="11"/>
      <color indexed="9"/>
      <name val="Calibri"/>
      <family val="2"/>
    </font>
    <font>
      <b/>
      <vertAlign val="subscript"/>
      <sz val="11"/>
      <color indexed="44"/>
      <name val="Calibri"/>
      <family val="2"/>
    </font>
    <font>
      <b/>
      <vertAlign val="subscript"/>
      <sz val="11"/>
      <color indexed="9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ck">
        <color indexed="27"/>
      </left>
      <right style="thick">
        <color indexed="27"/>
      </right>
      <top>
        <color indexed="63"/>
      </top>
      <bottom style="thick">
        <color indexed="27"/>
      </bottom>
    </border>
    <border>
      <left style="thick">
        <color indexed="27"/>
      </left>
      <right style="thick">
        <color indexed="27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36">
    <xf numFmtId="164" fontId="0" fillId="0" borderId="0" xfId="0" applyAlignment="1">
      <alignment/>
    </xf>
    <xf numFmtId="164" fontId="0" fillId="24" borderId="0" xfId="0" applyFill="1" applyAlignment="1" applyProtection="1">
      <alignment/>
      <protection/>
    </xf>
    <xf numFmtId="164" fontId="0" fillId="25" borderId="10" xfId="0" applyFont="1" applyFill="1" applyBorder="1" applyAlignment="1" applyProtection="1">
      <alignment horizontal="right"/>
      <protection/>
    </xf>
    <xf numFmtId="164" fontId="18" fillId="26" borderId="11" xfId="0" applyFont="1" applyFill="1" applyBorder="1" applyAlignment="1" applyProtection="1">
      <alignment horizontal="center"/>
      <protection locked="0"/>
    </xf>
    <xf numFmtId="164" fontId="0" fillId="25" borderId="12" xfId="0" applyFont="1" applyFill="1" applyBorder="1" applyAlignment="1" applyProtection="1">
      <alignment horizontal="right"/>
      <protection/>
    </xf>
    <xf numFmtId="164" fontId="0" fillId="2" borderId="0" xfId="0" applyFill="1" applyAlignment="1">
      <alignment/>
    </xf>
    <xf numFmtId="164" fontId="20" fillId="2" borderId="0" xfId="0" applyFont="1" applyFill="1" applyAlignment="1">
      <alignment/>
    </xf>
    <xf numFmtId="164" fontId="21" fillId="16" borderId="13" xfId="0" applyFont="1" applyFill="1" applyBorder="1" applyAlignment="1">
      <alignment horizontal="right"/>
    </xf>
    <xf numFmtId="165" fontId="22" fillId="16" borderId="14" xfId="0" applyNumberFormat="1" applyFont="1" applyFill="1" applyBorder="1" applyAlignment="1" applyProtection="1">
      <alignment horizontal="center"/>
      <protection locked="0"/>
    </xf>
    <xf numFmtId="164" fontId="21" fillId="16" borderId="15" xfId="0" applyFont="1" applyFill="1" applyBorder="1" applyAlignment="1">
      <alignment/>
    </xf>
    <xf numFmtId="164" fontId="23" fillId="2" borderId="0" xfId="0" applyFont="1" applyFill="1" applyAlignment="1">
      <alignment horizontal="right"/>
    </xf>
    <xf numFmtId="164" fontId="23" fillId="2" borderId="0" xfId="0" applyFont="1" applyFill="1" applyAlignment="1">
      <alignment/>
    </xf>
    <xf numFmtId="165" fontId="23" fillId="2" borderId="0" xfId="0" applyNumberFormat="1" applyFont="1" applyFill="1" applyAlignment="1">
      <alignment/>
    </xf>
    <xf numFmtId="164" fontId="21" fillId="16" borderId="16" xfId="0" applyFont="1" applyFill="1" applyBorder="1" applyAlignment="1">
      <alignment horizontal="right"/>
    </xf>
    <xf numFmtId="165" fontId="22" fillId="16" borderId="0" xfId="0" applyNumberFormat="1" applyFont="1" applyFill="1" applyBorder="1" applyAlignment="1" applyProtection="1">
      <alignment horizontal="center"/>
      <protection locked="0"/>
    </xf>
    <xf numFmtId="164" fontId="21" fillId="16" borderId="17" xfId="0" applyFont="1" applyFill="1" applyBorder="1" applyAlignment="1">
      <alignment/>
    </xf>
    <xf numFmtId="166" fontId="23" fillId="2" borderId="0" xfId="0" applyNumberFormat="1" applyFont="1" applyFill="1" applyAlignment="1">
      <alignment/>
    </xf>
    <xf numFmtId="166" fontId="22" fillId="16" borderId="0" xfId="0" applyNumberFormat="1" applyFont="1" applyFill="1" applyBorder="1" applyAlignment="1" applyProtection="1">
      <alignment horizontal="center"/>
      <protection locked="0"/>
    </xf>
    <xf numFmtId="164" fontId="21" fillId="16" borderId="18" xfId="0" applyFont="1" applyFill="1" applyBorder="1" applyAlignment="1">
      <alignment horizontal="center"/>
    </xf>
    <xf numFmtId="164" fontId="21" fillId="16" borderId="19" xfId="0" applyFont="1" applyFill="1" applyBorder="1" applyAlignment="1">
      <alignment horizontal="right"/>
    </xf>
    <xf numFmtId="165" fontId="22" fillId="16" borderId="20" xfId="0" applyNumberFormat="1" applyFont="1" applyFill="1" applyBorder="1" applyAlignment="1" applyProtection="1">
      <alignment horizontal="center"/>
      <protection locked="0"/>
    </xf>
    <xf numFmtId="164" fontId="21" fillId="16" borderId="21" xfId="0" applyFont="1" applyFill="1" applyBorder="1" applyAlignment="1">
      <alignment/>
    </xf>
    <xf numFmtId="164" fontId="5" fillId="13" borderId="0" xfId="0" applyFont="1" applyFill="1" applyBorder="1" applyAlignment="1">
      <alignment horizontal="left"/>
    </xf>
    <xf numFmtId="164" fontId="24" fillId="13" borderId="0" xfId="0" applyFont="1" applyFill="1" applyBorder="1" applyAlignment="1">
      <alignment horizontal="left"/>
    </xf>
    <xf numFmtId="164" fontId="25" fillId="13" borderId="0" xfId="0" applyFont="1" applyFill="1" applyBorder="1" applyAlignment="1">
      <alignment horizontal="left" vertical="top" textRotation="180"/>
    </xf>
    <xf numFmtId="164" fontId="26" fillId="13" borderId="0" xfId="0" applyFont="1" applyFill="1" applyBorder="1" applyAlignment="1">
      <alignment horizontal="left"/>
    </xf>
    <xf numFmtId="164" fontId="25" fillId="13" borderId="0" xfId="0" applyFont="1" applyFill="1" applyBorder="1" applyAlignment="1">
      <alignment horizontal="center" vertical="top" textRotation="180"/>
    </xf>
    <xf numFmtId="164" fontId="2" fillId="13" borderId="0" xfId="0" applyFont="1" applyFill="1" applyBorder="1" applyAlignment="1">
      <alignment horizontal="left"/>
    </xf>
    <xf numFmtId="164" fontId="26" fillId="13" borderId="0" xfId="0" applyFont="1" applyFill="1" applyBorder="1" applyAlignment="1">
      <alignment/>
    </xf>
    <xf numFmtId="164" fontId="26" fillId="13" borderId="0" xfId="0" applyFont="1" applyFill="1" applyAlignment="1">
      <alignment/>
    </xf>
    <xf numFmtId="164" fontId="27" fillId="13" borderId="0" xfId="0" applyFont="1" applyFill="1" applyBorder="1" applyAlignment="1">
      <alignment horizontal="center" vertical="center"/>
    </xf>
    <xf numFmtId="164" fontId="26" fillId="13" borderId="0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31" fillId="10" borderId="13" xfId="0" applyFont="1" applyFill="1" applyBorder="1" applyAlignment="1">
      <alignment horizontal="center"/>
    </xf>
    <xf numFmtId="164" fontId="31" fillId="10" borderId="14" xfId="0" applyFont="1" applyFill="1" applyBorder="1" applyAlignment="1">
      <alignment horizontal="center" wrapText="1"/>
    </xf>
    <xf numFmtId="164" fontId="31" fillId="10" borderId="15" xfId="0" applyFont="1" applyFill="1" applyBorder="1" applyAlignment="1">
      <alignment horizontal="center" wrapText="1"/>
    </xf>
    <xf numFmtId="164" fontId="31" fillId="10" borderId="0" xfId="0" applyFont="1" applyFill="1" applyBorder="1" applyAlignment="1">
      <alignment horizontal="center" wrapText="1"/>
    </xf>
    <xf numFmtId="164" fontId="32" fillId="10" borderId="22" xfId="0" applyFont="1" applyFill="1" applyBorder="1" applyAlignment="1">
      <alignment/>
    </xf>
    <xf numFmtId="165" fontId="0" fillId="4" borderId="0" xfId="0" applyNumberFormat="1" applyFill="1" applyAlignment="1">
      <alignment/>
    </xf>
    <xf numFmtId="164" fontId="31" fillId="10" borderId="18" xfId="0" applyFont="1" applyFill="1" applyBorder="1" applyAlignment="1">
      <alignment/>
    </xf>
    <xf numFmtId="164" fontId="31" fillId="10" borderId="16" xfId="0" applyFont="1" applyFill="1" applyBorder="1" applyAlignment="1">
      <alignment/>
    </xf>
    <xf numFmtId="165" fontId="33" fillId="10" borderId="0" xfId="0" applyNumberFormat="1" applyFont="1" applyFill="1" applyBorder="1" applyAlignment="1" applyProtection="1">
      <alignment horizontal="center"/>
      <protection locked="0"/>
    </xf>
    <xf numFmtId="165" fontId="33" fillId="10" borderId="17" xfId="0" applyNumberFormat="1" applyFont="1" applyFill="1" applyBorder="1" applyAlignment="1" applyProtection="1">
      <alignment horizontal="center"/>
      <protection locked="0"/>
    </xf>
    <xf numFmtId="165" fontId="33" fillId="10" borderId="0" xfId="0" applyNumberFormat="1" applyFont="1" applyFill="1" applyBorder="1" applyAlignment="1">
      <alignment horizontal="center"/>
    </xf>
    <xf numFmtId="164" fontId="31" fillId="10" borderId="19" xfId="0" applyFont="1" applyFill="1" applyBorder="1" applyAlignment="1">
      <alignment/>
    </xf>
    <xf numFmtId="165" fontId="33" fillId="10" borderId="20" xfId="0" applyNumberFormat="1" applyFont="1" applyFill="1" applyBorder="1" applyAlignment="1" applyProtection="1">
      <alignment horizontal="center"/>
      <protection locked="0"/>
    </xf>
    <xf numFmtId="165" fontId="33" fillId="10" borderId="21" xfId="0" applyNumberFormat="1" applyFont="1" applyFill="1" applyBorder="1" applyAlignment="1" applyProtection="1">
      <alignment horizontal="center"/>
      <protection locked="0"/>
    </xf>
    <xf numFmtId="164" fontId="32" fillId="10" borderId="18" xfId="0" applyFont="1" applyFill="1" applyBorder="1" applyAlignment="1">
      <alignment/>
    </xf>
    <xf numFmtId="164" fontId="31" fillId="4" borderId="14" xfId="0" applyFont="1" applyFill="1" applyBorder="1" applyAlignment="1">
      <alignment horizontal="center"/>
    </xf>
    <xf numFmtId="164" fontId="31" fillId="4" borderId="0" xfId="0" applyFont="1" applyFill="1" applyBorder="1" applyAlignment="1">
      <alignment horizontal="center"/>
    </xf>
    <xf numFmtId="164" fontId="31" fillId="10" borderId="10" xfId="0" applyFont="1" applyFill="1" applyBorder="1" applyAlignment="1">
      <alignment horizontal="right"/>
    </xf>
    <xf numFmtId="164" fontId="33" fillId="10" borderId="11" xfId="0" applyFont="1" applyFill="1" applyBorder="1" applyAlignment="1" applyProtection="1">
      <alignment horizontal="center"/>
      <protection locked="0"/>
    </xf>
    <xf numFmtId="164" fontId="31" fillId="10" borderId="12" xfId="0" applyFont="1" applyFill="1" applyBorder="1" applyAlignment="1">
      <alignment/>
    </xf>
    <xf numFmtId="164" fontId="31" fillId="10" borderId="23" xfId="0" applyFont="1" applyFill="1" applyBorder="1" applyAlignment="1">
      <alignment/>
    </xf>
    <xf numFmtId="164" fontId="31" fillId="4" borderId="0" xfId="0" applyFont="1" applyFill="1" applyAlignment="1">
      <alignment/>
    </xf>
    <xf numFmtId="164" fontId="31" fillId="10" borderId="22" xfId="0" applyFont="1" applyFill="1" applyBorder="1" applyAlignment="1">
      <alignment/>
    </xf>
    <xf numFmtId="164" fontId="31" fillId="10" borderId="18" xfId="0" applyFont="1" applyFill="1" applyBorder="1" applyAlignment="1">
      <alignment horizontal="left"/>
    </xf>
    <xf numFmtId="165" fontId="34" fillId="10" borderId="23" xfId="0" applyNumberFormat="1" applyFont="1" applyFill="1" applyBorder="1" applyAlignment="1">
      <alignment horizontal="center"/>
    </xf>
    <xf numFmtId="164" fontId="0" fillId="22" borderId="0" xfId="0" applyFill="1" applyAlignment="1">
      <alignment/>
    </xf>
    <xf numFmtId="165" fontId="35" fillId="22" borderId="0" xfId="0" applyNumberFormat="1" applyFont="1" applyFill="1" applyAlignment="1">
      <alignment/>
    </xf>
    <xf numFmtId="165" fontId="35" fillId="22" borderId="0" xfId="0" applyNumberFormat="1" applyFont="1" applyFill="1" applyAlignment="1">
      <alignment horizontal="center"/>
    </xf>
    <xf numFmtId="164" fontId="35" fillId="22" borderId="0" xfId="0" applyFont="1" applyFill="1" applyAlignment="1">
      <alignment horizontal="center"/>
    </xf>
    <xf numFmtId="164" fontId="36" fillId="27" borderId="10" xfId="0" applyFont="1" applyFill="1" applyBorder="1" applyAlignment="1">
      <alignment horizontal="center" vertical="center" wrapText="1"/>
    </xf>
    <xf numFmtId="164" fontId="37" fillId="22" borderId="11" xfId="0" applyFont="1" applyFill="1" applyBorder="1" applyAlignment="1" applyProtection="1">
      <alignment vertical="center"/>
      <protection locked="0"/>
    </xf>
    <xf numFmtId="164" fontId="38" fillId="27" borderId="12" xfId="0" applyFont="1" applyFill="1" applyBorder="1" applyAlignment="1">
      <alignment horizontal="left" vertical="center" wrapText="1"/>
    </xf>
    <xf numFmtId="164" fontId="36" fillId="27" borderId="10" xfId="0" applyNumberFormat="1" applyFont="1" applyFill="1" applyBorder="1" applyAlignment="1">
      <alignment horizontal="center" vertical="center" wrapText="1"/>
    </xf>
    <xf numFmtId="165" fontId="37" fillId="22" borderId="12" xfId="0" applyNumberFormat="1" applyFont="1" applyFill="1" applyBorder="1" applyAlignment="1" applyProtection="1">
      <alignment horizontal="center" vertical="center"/>
      <protection locked="0"/>
    </xf>
    <xf numFmtId="164" fontId="39" fillId="27" borderId="0" xfId="0" applyFont="1" applyFill="1" applyBorder="1" applyAlignment="1">
      <alignment horizontal="right"/>
    </xf>
    <xf numFmtId="165" fontId="35" fillId="27" borderId="0" xfId="0" applyNumberFormat="1" applyFont="1" applyFill="1" applyBorder="1" applyAlignment="1">
      <alignment horizontal="center"/>
    </xf>
    <xf numFmtId="164" fontId="36" fillId="27" borderId="0" xfId="0" applyFont="1" applyFill="1" applyAlignment="1">
      <alignment horizontal="center"/>
    </xf>
    <xf numFmtId="164" fontId="0" fillId="6" borderId="0" xfId="0" applyFill="1" applyAlignment="1">
      <alignment/>
    </xf>
    <xf numFmtId="165" fontId="0" fillId="8" borderId="16" xfId="0" applyNumberFormat="1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5" fontId="0" fillId="8" borderId="17" xfId="0" applyNumberFormat="1" applyFill="1" applyBorder="1" applyAlignment="1">
      <alignment horizontal="center"/>
    </xf>
    <xf numFmtId="164" fontId="0" fillId="6" borderId="0" xfId="0" applyFill="1" applyAlignment="1">
      <alignment horizontal="center"/>
    </xf>
    <xf numFmtId="164" fontId="0" fillId="14" borderId="22" xfId="0" applyFont="1" applyFill="1" applyBorder="1" applyAlignment="1">
      <alignment horizontal="center"/>
    </xf>
    <xf numFmtId="164" fontId="0" fillId="14" borderId="13" xfId="0" applyFont="1" applyFill="1" applyBorder="1" applyAlignment="1">
      <alignment horizontal="center" wrapText="1"/>
    </xf>
    <xf numFmtId="164" fontId="0" fillId="14" borderId="14" xfId="0" applyFont="1" applyFill="1" applyBorder="1" applyAlignment="1">
      <alignment horizontal="center" wrapText="1"/>
    </xf>
    <xf numFmtId="164" fontId="0" fillId="14" borderId="15" xfId="0" applyFont="1" applyFill="1" applyBorder="1" applyAlignment="1">
      <alignment horizontal="center" wrapText="1"/>
    </xf>
    <xf numFmtId="164" fontId="0" fillId="14" borderId="16" xfId="0" applyFont="1" applyFill="1" applyBorder="1" applyAlignment="1">
      <alignment horizontal="right"/>
    </xf>
    <xf numFmtId="165" fontId="0" fillId="8" borderId="0" xfId="0" applyNumberFormat="1" applyFill="1" applyBorder="1" applyAlignment="1" applyProtection="1">
      <alignment horizontal="center"/>
      <protection locked="0"/>
    </xf>
    <xf numFmtId="165" fontId="0" fillId="14" borderId="17" xfId="0" applyNumberFormat="1" applyFont="1" applyFill="1" applyBorder="1" applyAlignment="1" applyProtection="1">
      <alignment horizontal="left"/>
      <protection locked="0"/>
    </xf>
    <xf numFmtId="165" fontId="0" fillId="14" borderId="0" xfId="0" applyNumberFormat="1" applyFill="1" applyBorder="1" applyAlignment="1">
      <alignment horizontal="center"/>
    </xf>
    <xf numFmtId="165" fontId="0" fillId="14" borderId="17" xfId="0" applyNumberFormat="1" applyFont="1" applyFill="1" applyBorder="1" applyAlignment="1">
      <alignment horizontal="left"/>
    </xf>
    <xf numFmtId="164" fontId="0" fillId="14" borderId="16" xfId="0" applyFont="1" applyFill="1" applyBorder="1" applyAlignment="1">
      <alignment horizontal="center"/>
    </xf>
    <xf numFmtId="164" fontId="0" fillId="14" borderId="0" xfId="0" applyFont="1" applyFill="1" applyBorder="1" applyAlignment="1">
      <alignment horizontal="center"/>
    </xf>
    <xf numFmtId="164" fontId="0" fillId="14" borderId="17" xfId="0" applyFont="1" applyFill="1" applyBorder="1" applyAlignment="1">
      <alignment horizontal="center"/>
    </xf>
    <xf numFmtId="164" fontId="0" fillId="6" borderId="16" xfId="0" applyFill="1" applyBorder="1" applyAlignment="1">
      <alignment/>
    </xf>
    <xf numFmtId="164" fontId="0" fillId="6" borderId="0" xfId="0" applyFill="1" applyBorder="1" applyAlignment="1">
      <alignment horizontal="center"/>
    </xf>
    <xf numFmtId="164" fontId="0" fillId="6" borderId="17" xfId="0" applyFill="1" applyBorder="1" applyAlignment="1">
      <alignment horizontal="center"/>
    </xf>
    <xf numFmtId="164" fontId="0" fillId="6" borderId="16" xfId="0" applyFill="1" applyBorder="1" applyAlignment="1">
      <alignment horizontal="center"/>
    </xf>
    <xf numFmtId="164" fontId="0" fillId="14" borderId="19" xfId="0" applyFont="1" applyFill="1" applyBorder="1" applyAlignment="1">
      <alignment horizontal="right"/>
    </xf>
    <xf numFmtId="164" fontId="0" fillId="14" borderId="20" xfId="0" applyNumberFormat="1" applyFill="1" applyBorder="1" applyAlignment="1" applyProtection="1">
      <alignment horizontal="center"/>
      <protection locked="0"/>
    </xf>
    <xf numFmtId="165" fontId="0" fillId="14" borderId="21" xfId="0" applyNumberFormat="1" applyFont="1" applyFill="1" applyBorder="1" applyAlignment="1">
      <alignment horizontal="left"/>
    </xf>
    <xf numFmtId="164" fontId="40" fillId="14" borderId="19" xfId="0" applyFont="1" applyFill="1" applyBorder="1" applyAlignment="1">
      <alignment horizontal="center"/>
    </xf>
    <xf numFmtId="164" fontId="40" fillId="14" borderId="20" xfId="0" applyFont="1" applyFill="1" applyBorder="1" applyAlignment="1">
      <alignment horizontal="center"/>
    </xf>
    <xf numFmtId="164" fontId="40" fillId="14" borderId="21" xfId="0" applyFont="1" applyFill="1" applyBorder="1" applyAlignment="1">
      <alignment horizontal="center"/>
    </xf>
    <xf numFmtId="164" fontId="41" fillId="14" borderId="13" xfId="0" applyFont="1" applyFill="1" applyBorder="1" applyAlignment="1">
      <alignment horizontal="center"/>
    </xf>
    <xf numFmtId="164" fontId="41" fillId="14" borderId="14" xfId="0" applyFont="1" applyFill="1" applyBorder="1" applyAlignment="1">
      <alignment horizontal="center"/>
    </xf>
    <xf numFmtId="164" fontId="41" fillId="14" borderId="15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3" borderId="24" xfId="0" applyFill="1" applyBorder="1" applyAlignment="1">
      <alignment/>
    </xf>
    <xf numFmtId="164" fontId="42" fillId="3" borderId="0" xfId="0" applyFont="1" applyFill="1" applyAlignment="1">
      <alignment/>
    </xf>
    <xf numFmtId="164" fontId="0" fillId="3" borderId="25" xfId="0" applyFill="1" applyBorder="1" applyAlignment="1">
      <alignment/>
    </xf>
    <xf numFmtId="164" fontId="43" fillId="28" borderId="0" xfId="0" applyFont="1" applyFill="1" applyAlignment="1">
      <alignment horizontal="right" wrapText="1"/>
    </xf>
    <xf numFmtId="165" fontId="44" fillId="28" borderId="0" xfId="0" applyNumberFormat="1" applyFont="1" applyFill="1" applyAlignment="1" applyProtection="1">
      <alignment horizontal="center"/>
      <protection locked="0"/>
    </xf>
    <xf numFmtId="164" fontId="43" fillId="28" borderId="25" xfId="0" applyFont="1" applyFill="1" applyBorder="1" applyAlignment="1">
      <alignment horizontal="left"/>
    </xf>
    <xf numFmtId="165" fontId="42" fillId="3" borderId="0" xfId="0" applyNumberFormat="1" applyFont="1" applyFill="1" applyAlignment="1">
      <alignment/>
    </xf>
    <xf numFmtId="164" fontId="43" fillId="28" borderId="0" xfId="0" applyFont="1" applyFill="1" applyAlignment="1">
      <alignment horizontal="right"/>
    </xf>
    <xf numFmtId="164" fontId="43" fillId="28" borderId="25" xfId="0" applyFont="1" applyFill="1" applyBorder="1" applyAlignment="1">
      <alignment/>
    </xf>
    <xf numFmtId="164" fontId="43" fillId="28" borderId="26" xfId="0" applyFont="1" applyFill="1" applyBorder="1" applyAlignment="1">
      <alignment horizontal="center"/>
    </xf>
    <xf numFmtId="164" fontId="45" fillId="28" borderId="0" xfId="0" applyFont="1" applyFill="1" applyBorder="1" applyAlignment="1">
      <alignment horizontal="left"/>
    </xf>
    <xf numFmtId="164" fontId="46" fillId="15" borderId="0" xfId="0" applyFont="1" applyFill="1" applyBorder="1" applyAlignment="1">
      <alignment horizontal="left" vertical="top" textRotation="180"/>
    </xf>
    <xf numFmtId="164" fontId="13" fillId="15" borderId="0" xfId="0" applyFont="1" applyFill="1" applyBorder="1" applyAlignment="1">
      <alignment horizontal="left"/>
    </xf>
    <xf numFmtId="164" fontId="47" fillId="15" borderId="0" xfId="0" applyFont="1" applyFill="1" applyBorder="1" applyAlignment="1">
      <alignment horizontal="center"/>
    </xf>
    <xf numFmtId="164" fontId="13" fillId="15" borderId="0" xfId="0" applyFont="1" applyFill="1" applyBorder="1" applyAlignment="1">
      <alignment horizontal="center"/>
    </xf>
    <xf numFmtId="164" fontId="0" fillId="22" borderId="0" xfId="0" applyFill="1" applyAlignment="1">
      <alignment horizontal="right"/>
    </xf>
    <xf numFmtId="164" fontId="0" fillId="22" borderId="0" xfId="0" applyFill="1" applyBorder="1" applyAlignment="1">
      <alignment horizontal="right"/>
    </xf>
    <xf numFmtId="164" fontId="0" fillId="22" borderId="0" xfId="0" applyFill="1" applyBorder="1" applyAlignment="1">
      <alignment/>
    </xf>
    <xf numFmtId="164" fontId="48" fillId="27" borderId="27" xfId="0" applyFont="1" applyFill="1" applyBorder="1" applyAlignment="1">
      <alignment horizontal="right"/>
    </xf>
    <xf numFmtId="165" fontId="49" fillId="27" borderId="28" xfId="0" applyNumberFormat="1" applyFont="1" applyFill="1" applyBorder="1" applyAlignment="1" applyProtection="1">
      <alignment horizontal="center"/>
      <protection locked="0"/>
    </xf>
    <xf numFmtId="164" fontId="48" fillId="27" borderId="29" xfId="0" applyFont="1" applyFill="1" applyBorder="1" applyAlignment="1">
      <alignment/>
    </xf>
    <xf numFmtId="164" fontId="48" fillId="27" borderId="30" xfId="0" applyFont="1" applyFill="1" applyBorder="1" applyAlignment="1">
      <alignment horizontal="right"/>
    </xf>
    <xf numFmtId="165" fontId="49" fillId="27" borderId="0" xfId="0" applyNumberFormat="1" applyFont="1" applyFill="1" applyBorder="1" applyAlignment="1" applyProtection="1">
      <alignment horizontal="center"/>
      <protection locked="0"/>
    </xf>
    <xf numFmtId="164" fontId="48" fillId="27" borderId="31" xfId="0" applyFont="1" applyFill="1" applyBorder="1" applyAlignment="1">
      <alignment/>
    </xf>
    <xf numFmtId="164" fontId="48" fillId="27" borderId="32" xfId="0" applyFont="1" applyFill="1" applyBorder="1" applyAlignment="1">
      <alignment horizontal="right"/>
    </xf>
    <xf numFmtId="165" fontId="49" fillId="27" borderId="33" xfId="0" applyNumberFormat="1" applyFont="1" applyFill="1" applyBorder="1" applyAlignment="1" applyProtection="1">
      <alignment horizontal="center"/>
      <protection locked="0"/>
    </xf>
    <xf numFmtId="164" fontId="48" fillId="27" borderId="34" xfId="0" applyFont="1" applyFill="1" applyBorder="1" applyAlignment="1">
      <alignment horizontal="left"/>
    </xf>
    <xf numFmtId="164" fontId="36" fillId="27" borderId="0" xfId="0" applyFont="1" applyFill="1" applyBorder="1" applyAlignment="1">
      <alignment horizontal="left"/>
    </xf>
    <xf numFmtId="164" fontId="36" fillId="27" borderId="0" xfId="0" applyFont="1" applyFill="1" applyBorder="1" applyAlignment="1">
      <alignment horizontal="left" vertical="center"/>
    </xf>
    <xf numFmtId="164" fontId="50" fillId="27" borderId="0" xfId="0" applyFont="1" applyFill="1" applyBorder="1" applyAlignment="1">
      <alignment horizontal="center" vertical="top" textRotation="180"/>
    </xf>
    <xf numFmtId="164" fontId="51" fillId="27" borderId="0" xfId="0" applyFont="1" applyFill="1" applyBorder="1" applyAlignment="1">
      <alignment horizontal="left"/>
    </xf>
    <xf numFmtId="164" fontId="39" fillId="27" borderId="0" xfId="0" applyFont="1" applyFill="1" applyBorder="1" applyAlignment="1">
      <alignment horizontal="left"/>
    </xf>
    <xf numFmtId="164" fontId="36" fillId="27" borderId="0" xfId="0" applyFont="1" applyFill="1" applyBorder="1" applyAlignment="1">
      <alignment horizontal="center" vertical="center"/>
    </xf>
    <xf numFmtId="164" fontId="52" fillId="27" borderId="0" xfId="0" applyFont="1" applyFill="1" applyBorder="1" applyAlignment="1">
      <alignment horizontal="center" vertical="center"/>
    </xf>
    <xf numFmtId="164" fontId="51" fillId="27" borderId="0" xfId="0" applyFont="1" applyFill="1" applyBorder="1" applyAlignment="1">
      <alignment horizontal="center" vertical="top"/>
    </xf>
    <xf numFmtId="164" fontId="0" fillId="22" borderId="0" xfId="0" applyFill="1" applyAlignment="1">
      <alignment horizontal="center"/>
    </xf>
    <xf numFmtId="164" fontId="0" fillId="22" borderId="0" xfId="0" applyFill="1" applyAlignment="1">
      <alignment horizontal="center" vertical="center"/>
    </xf>
    <xf numFmtId="164" fontId="36" fillId="27" borderId="0" xfId="0" applyFont="1" applyFill="1" applyBorder="1" applyAlignment="1">
      <alignment horizontal="center"/>
    </xf>
    <xf numFmtId="164" fontId="36" fillId="27" borderId="0" xfId="0" applyFont="1" applyFill="1" applyBorder="1" applyAlignment="1">
      <alignment horizontal="center" wrapText="1"/>
    </xf>
    <xf numFmtId="164" fontId="36" fillId="27" borderId="0" xfId="0" applyFont="1" applyFill="1" applyBorder="1" applyAlignment="1">
      <alignment horizontal="center" vertical="center" wrapText="1"/>
    </xf>
    <xf numFmtId="164" fontId="36" fillId="22" borderId="0" xfId="0" applyFont="1" applyFill="1" applyAlignment="1">
      <alignment/>
    </xf>
    <xf numFmtId="164" fontId="36" fillId="27" borderId="0" xfId="0" applyFont="1" applyFill="1" applyAlignment="1">
      <alignment/>
    </xf>
    <xf numFmtId="164" fontId="35" fillId="22" borderId="0" xfId="0" applyFont="1" applyFill="1" applyAlignment="1" applyProtection="1">
      <alignment horizontal="center"/>
      <protection locked="0"/>
    </xf>
    <xf numFmtId="165" fontId="35" fillId="22" borderId="0" xfId="0" applyNumberFormat="1" applyFont="1" applyFill="1" applyAlignment="1">
      <alignment horizontal="center" vertical="center"/>
    </xf>
    <xf numFmtId="165" fontId="2" fillId="27" borderId="0" xfId="0" applyNumberFormat="1" applyFont="1" applyFill="1" applyAlignment="1" applyProtection="1">
      <alignment horizontal="center"/>
      <protection/>
    </xf>
    <xf numFmtId="164" fontId="2" fillId="27" borderId="0" xfId="0" applyFont="1" applyFill="1" applyAlignment="1">
      <alignment horizontal="center"/>
    </xf>
    <xf numFmtId="165" fontId="2" fillId="27" borderId="0" xfId="0" applyNumberFormat="1" applyFont="1" applyFill="1" applyAlignment="1">
      <alignment horizontal="center" vertical="center"/>
    </xf>
    <xf numFmtId="164" fontId="0" fillId="22" borderId="0" xfId="0" applyFont="1" applyFill="1" applyAlignment="1">
      <alignment horizontal="center" vertical="center" shrinkToFit="1"/>
    </xf>
    <xf numFmtId="164" fontId="53" fillId="29" borderId="13" xfId="0" applyFont="1" applyFill="1" applyBorder="1" applyAlignment="1">
      <alignment horizontal="right"/>
    </xf>
    <xf numFmtId="165" fontId="44" fillId="29" borderId="14" xfId="0" applyNumberFormat="1" applyFont="1" applyFill="1" applyBorder="1" applyAlignment="1" applyProtection="1">
      <alignment horizontal="center"/>
      <protection locked="0"/>
    </xf>
    <xf numFmtId="164" fontId="53" fillId="29" borderId="15" xfId="0" applyFont="1" applyFill="1" applyBorder="1" applyAlignment="1">
      <alignment horizontal="center"/>
    </xf>
    <xf numFmtId="164" fontId="53" fillId="29" borderId="19" xfId="0" applyFont="1" applyFill="1" applyBorder="1" applyAlignment="1">
      <alignment horizontal="right"/>
    </xf>
    <xf numFmtId="165" fontId="44" fillId="29" borderId="20" xfId="0" applyNumberFormat="1" applyFont="1" applyFill="1" applyBorder="1" applyAlignment="1" applyProtection="1">
      <alignment horizontal="center"/>
      <protection locked="0"/>
    </xf>
    <xf numFmtId="164" fontId="53" fillId="29" borderId="20" xfId="0" applyFont="1" applyFill="1" applyBorder="1" applyAlignment="1">
      <alignment/>
    </xf>
    <xf numFmtId="164" fontId="53" fillId="29" borderId="21" xfId="0" applyFont="1" applyFill="1" applyBorder="1" applyAlignment="1">
      <alignment/>
    </xf>
    <xf numFmtId="164" fontId="7" fillId="4" borderId="0" xfId="0" applyFont="1" applyFill="1" applyAlignment="1">
      <alignment horizontal="right"/>
    </xf>
    <xf numFmtId="164" fontId="55" fillId="29" borderId="0" xfId="0" applyFont="1" applyFill="1" applyBorder="1" applyAlignment="1">
      <alignment horizontal="left"/>
    </xf>
    <xf numFmtId="165" fontId="56" fillId="29" borderId="0" xfId="0" applyNumberFormat="1" applyFont="1" applyFill="1" applyAlignment="1" applyProtection="1">
      <alignment horizontal="center"/>
      <protection locked="0"/>
    </xf>
    <xf numFmtId="164" fontId="57" fillId="29" borderId="0" xfId="0" applyFont="1" applyFill="1" applyAlignment="1">
      <alignment/>
    </xf>
    <xf numFmtId="164" fontId="57" fillId="29" borderId="0" xfId="0" applyFont="1" applyFill="1" applyBorder="1" applyAlignment="1">
      <alignment horizontal="left"/>
    </xf>
    <xf numFmtId="164" fontId="59" fillId="10" borderId="0" xfId="0" applyFont="1" applyFill="1" applyBorder="1" applyAlignment="1" applyProtection="1">
      <alignment horizontal="center" vertical="center" textRotation="180"/>
      <protection/>
    </xf>
    <xf numFmtId="164" fontId="7" fillId="10" borderId="0" xfId="0" applyFont="1" applyFill="1" applyBorder="1" applyAlignment="1">
      <alignment horizontal="left"/>
    </xf>
    <xf numFmtId="164" fontId="55" fillId="29" borderId="0" xfId="0" applyFont="1" applyFill="1" applyBorder="1" applyAlignment="1">
      <alignment horizontal="right"/>
    </xf>
    <xf numFmtId="168" fontId="56" fillId="29" borderId="0" xfId="0" applyNumberFormat="1" applyFont="1" applyFill="1" applyAlignment="1" applyProtection="1">
      <alignment horizontal="center"/>
      <protection locked="0"/>
    </xf>
    <xf numFmtId="164" fontId="59" fillId="10" borderId="0" xfId="0" applyFont="1" applyFill="1" applyBorder="1" applyAlignment="1" applyProtection="1">
      <alignment horizontal="center" vertical="center" textRotation="180"/>
      <protection/>
    </xf>
    <xf numFmtId="164" fontId="60" fillId="30" borderId="0" xfId="0" applyFont="1" applyFill="1" applyAlignment="1">
      <alignment/>
    </xf>
    <xf numFmtId="164" fontId="60" fillId="30" borderId="0" xfId="0" applyFont="1" applyFill="1" applyAlignment="1">
      <alignment horizontal="right"/>
    </xf>
    <xf numFmtId="164" fontId="60" fillId="30" borderId="35" xfId="0" applyFont="1" applyFill="1" applyBorder="1" applyAlignment="1">
      <alignment/>
    </xf>
    <xf numFmtId="164" fontId="61" fillId="30" borderId="36" xfId="0" applyFont="1" applyFill="1" applyBorder="1" applyAlignment="1">
      <alignment horizontal="right"/>
    </xf>
    <xf numFmtId="166" fontId="62" fillId="30" borderId="37" xfId="0" applyNumberFormat="1" applyFont="1" applyFill="1" applyBorder="1" applyAlignment="1" applyProtection="1">
      <alignment horizontal="center"/>
      <protection locked="0"/>
    </xf>
    <xf numFmtId="164" fontId="61" fillId="30" borderId="38" xfId="0" applyFont="1" applyFill="1" applyBorder="1" applyAlignment="1">
      <alignment horizontal="right"/>
    </xf>
    <xf numFmtId="168" fontId="62" fillId="30" borderId="39" xfId="0" applyNumberFormat="1" applyFont="1" applyFill="1" applyBorder="1" applyAlignment="1" applyProtection="1">
      <alignment horizontal="center"/>
      <protection locked="0"/>
    </xf>
    <xf numFmtId="164" fontId="61" fillId="30" borderId="40" xfId="0" applyFont="1" applyFill="1" applyBorder="1" applyAlignment="1">
      <alignment horizontal="center"/>
    </xf>
    <xf numFmtId="166" fontId="60" fillId="30" borderId="0" xfId="0" applyNumberFormat="1" applyFont="1" applyFill="1" applyAlignment="1">
      <alignment horizontal="center"/>
    </xf>
    <xf numFmtId="168" fontId="64" fillId="30" borderId="0" xfId="0" applyNumberFormat="1" applyFont="1" applyFill="1" applyAlignment="1">
      <alignment horizontal="center"/>
    </xf>
    <xf numFmtId="164" fontId="0" fillId="31" borderId="0" xfId="0" applyFill="1" applyAlignment="1" applyProtection="1">
      <alignment/>
      <protection/>
    </xf>
    <xf numFmtId="164" fontId="53" fillId="18" borderId="0" xfId="0" applyFont="1" applyFill="1" applyBorder="1" applyAlignment="1" applyProtection="1">
      <alignment horizontal="left"/>
      <protection/>
    </xf>
    <xf numFmtId="164" fontId="31" fillId="10" borderId="0" xfId="0" applyFont="1" applyFill="1" applyAlignment="1" applyProtection="1">
      <alignment/>
      <protection/>
    </xf>
    <xf numFmtId="164" fontId="31" fillId="10" borderId="0" xfId="0" applyFont="1" applyFill="1" applyBorder="1" applyAlignment="1" applyProtection="1">
      <alignment horizontal="center"/>
      <protection/>
    </xf>
    <xf numFmtId="164" fontId="65" fillId="10" borderId="0" xfId="0" applyFont="1" applyFill="1" applyBorder="1" applyAlignment="1" applyProtection="1">
      <alignment horizontal="center"/>
      <protection/>
    </xf>
    <xf numFmtId="164" fontId="31" fillId="10" borderId="0" xfId="0" applyFont="1" applyFill="1" applyAlignment="1" applyProtection="1">
      <alignment/>
      <protection/>
    </xf>
    <xf numFmtId="164" fontId="31" fillId="10" borderId="0" xfId="0" applyFont="1" applyFill="1" applyAlignment="1" applyProtection="1">
      <alignment horizontal="center" vertical="center"/>
      <protection/>
    </xf>
    <xf numFmtId="164" fontId="31" fillId="10" borderId="0" xfId="0" applyFont="1" applyFill="1" applyAlignment="1" applyProtection="1">
      <alignment horizontal="center"/>
      <protection/>
    </xf>
    <xf numFmtId="164" fontId="53" fillId="18" borderId="0" xfId="0" applyFont="1" applyFill="1" applyAlignment="1" applyProtection="1">
      <alignment horizontal="center"/>
      <protection/>
    </xf>
    <xf numFmtId="164" fontId="31" fillId="10" borderId="0" xfId="0" applyFont="1" applyFill="1" applyBorder="1" applyAlignment="1" applyProtection="1">
      <alignment horizontal="center"/>
      <protection/>
    </xf>
    <xf numFmtId="164" fontId="31" fillId="10" borderId="0" xfId="0" applyFont="1" applyFill="1" applyAlignment="1" applyProtection="1">
      <alignment horizontal="right"/>
      <protection/>
    </xf>
    <xf numFmtId="165" fontId="66" fillId="10" borderId="0" xfId="0" applyNumberFormat="1" applyFont="1" applyFill="1" applyAlignment="1" applyProtection="1">
      <alignment horizontal="center"/>
      <protection locked="0"/>
    </xf>
    <xf numFmtId="164" fontId="31" fillId="10" borderId="0" xfId="0" applyFont="1" applyFill="1" applyAlignment="1" applyProtection="1">
      <alignment horizontal="left"/>
      <protection/>
    </xf>
    <xf numFmtId="164" fontId="31" fillId="10" borderId="0" xfId="0" applyFont="1" applyFill="1" applyBorder="1" applyAlignment="1" applyProtection="1">
      <alignment horizontal="right"/>
      <protection/>
    </xf>
    <xf numFmtId="166" fontId="66" fillId="10" borderId="0" xfId="0" applyNumberFormat="1" applyFont="1" applyFill="1" applyAlignment="1" applyProtection="1">
      <alignment horizontal="center"/>
      <protection locked="0"/>
    </xf>
    <xf numFmtId="168" fontId="66" fillId="10" borderId="0" xfId="0" applyNumberFormat="1" applyFont="1" applyFill="1" applyBorder="1" applyAlignment="1" applyProtection="1">
      <alignment horizontal="center"/>
      <protection locked="0"/>
    </xf>
    <xf numFmtId="164" fontId="32" fillId="10" borderId="0" xfId="0" applyFont="1" applyFill="1" applyBorder="1" applyAlignment="1" applyProtection="1">
      <alignment horizontal="center"/>
      <protection/>
    </xf>
    <xf numFmtId="164" fontId="53" fillId="18" borderId="0" xfId="0" applyFont="1" applyFill="1" applyBorder="1" applyAlignment="1" applyProtection="1">
      <alignment horizontal="center"/>
      <protection/>
    </xf>
    <xf numFmtId="164" fontId="0" fillId="32" borderId="0" xfId="0" applyFill="1" applyAlignment="1" applyProtection="1">
      <alignment/>
      <protection/>
    </xf>
    <xf numFmtId="164" fontId="68" fillId="33" borderId="0" xfId="0" applyFont="1" applyFill="1" applyBorder="1" applyAlignment="1" applyProtection="1">
      <alignment horizontal="left"/>
      <protection/>
    </xf>
    <xf numFmtId="164" fontId="69" fillId="34" borderId="0" xfId="0" applyFont="1" applyFill="1" applyAlignment="1" applyProtection="1">
      <alignment/>
      <protection/>
    </xf>
    <xf numFmtId="164" fontId="68" fillId="33" borderId="0" xfId="0" applyFont="1" applyFill="1" applyAlignment="1" applyProtection="1">
      <alignment horizontal="center"/>
      <protection/>
    </xf>
    <xf numFmtId="164" fontId="70" fillId="34" borderId="0" xfId="0" applyFont="1" applyFill="1" applyBorder="1" applyAlignment="1" applyProtection="1">
      <alignment horizontal="center"/>
      <protection/>
    </xf>
    <xf numFmtId="164" fontId="72" fillId="34" borderId="0" xfId="0" applyFont="1" applyFill="1" applyBorder="1" applyAlignment="1" applyProtection="1">
      <alignment horizontal="center"/>
      <protection/>
    </xf>
    <xf numFmtId="164" fontId="69" fillId="34" borderId="0" xfId="0" applyFont="1" applyFill="1" applyAlignment="1" applyProtection="1">
      <alignment/>
      <protection/>
    </xf>
    <xf numFmtId="164" fontId="69" fillId="34" borderId="0" xfId="0" applyFont="1" applyFill="1" applyAlignment="1" applyProtection="1">
      <alignment horizontal="center" vertical="center"/>
      <protection/>
    </xf>
    <xf numFmtId="164" fontId="69" fillId="34" borderId="0" xfId="0" applyFont="1" applyFill="1" applyAlignment="1" applyProtection="1">
      <alignment horizontal="center"/>
      <protection/>
    </xf>
    <xf numFmtId="164" fontId="68" fillId="33" borderId="0" xfId="0" applyFont="1" applyFill="1" applyAlignment="1" applyProtection="1">
      <alignment horizontal="left"/>
      <protection/>
    </xf>
    <xf numFmtId="164" fontId="45" fillId="34" borderId="0" xfId="0" applyFont="1" applyFill="1" applyBorder="1" applyAlignment="1" applyProtection="1">
      <alignment horizontal="center"/>
      <protection/>
    </xf>
    <xf numFmtId="164" fontId="70" fillId="34" borderId="0" xfId="0" applyFont="1" applyFill="1" applyBorder="1" applyAlignment="1" applyProtection="1">
      <alignment horizontal="center"/>
      <protection/>
    </xf>
    <xf numFmtId="164" fontId="45" fillId="34" borderId="0" xfId="0" applyFont="1" applyFill="1" applyBorder="1" applyAlignment="1" applyProtection="1">
      <alignment horizontal="right"/>
      <protection/>
    </xf>
    <xf numFmtId="166" fontId="73" fillId="34" borderId="0" xfId="0" applyNumberFormat="1" applyFont="1" applyFill="1" applyAlignment="1" applyProtection="1">
      <alignment horizontal="center"/>
      <protection locked="0"/>
    </xf>
    <xf numFmtId="164" fontId="45" fillId="34" borderId="0" xfId="0" applyFont="1" applyFill="1" applyAlignment="1" applyProtection="1">
      <alignment horizontal="left"/>
      <protection/>
    </xf>
    <xf numFmtId="164" fontId="45" fillId="34" borderId="0" xfId="0" applyFont="1" applyFill="1" applyAlignment="1" applyProtection="1">
      <alignment/>
      <protection/>
    </xf>
    <xf numFmtId="164" fontId="70" fillId="34" borderId="0" xfId="0" applyFont="1" applyFill="1" applyAlignment="1" applyProtection="1">
      <alignment horizontal="right"/>
      <protection/>
    </xf>
    <xf numFmtId="164" fontId="45" fillId="34" borderId="0" xfId="0" applyFont="1" applyFill="1" applyAlignment="1" applyProtection="1">
      <alignment horizontal="center"/>
      <protection/>
    </xf>
    <xf numFmtId="164" fontId="68" fillId="33" borderId="0" xfId="0" applyFont="1" applyFill="1" applyBorder="1" applyAlignment="1" applyProtection="1">
      <alignment horizontal="center"/>
      <protection/>
    </xf>
    <xf numFmtId="164" fontId="31" fillId="34" borderId="0" xfId="0" applyFont="1" applyFill="1" applyAlignment="1" applyProtection="1">
      <alignment horizontal="center"/>
      <protection/>
    </xf>
    <xf numFmtId="164" fontId="0" fillId="32" borderId="0" xfId="0" applyFill="1" applyAlignment="1" applyProtection="1">
      <alignment/>
      <protection/>
    </xf>
    <xf numFmtId="164" fontId="0" fillId="35" borderId="0" xfId="0" applyFont="1" applyFill="1" applyAlignment="1" applyProtection="1">
      <alignment/>
      <protection/>
    </xf>
    <xf numFmtId="164" fontId="75" fillId="36" borderId="0" xfId="0" applyFont="1" applyFill="1" applyBorder="1" applyAlignment="1" applyProtection="1">
      <alignment horizontal="left"/>
      <protection/>
    </xf>
    <xf numFmtId="164" fontId="0" fillId="37" borderId="0" xfId="0" applyFont="1" applyFill="1" applyAlignment="1" applyProtection="1">
      <alignment/>
      <protection/>
    </xf>
    <xf numFmtId="164" fontId="76" fillId="37" borderId="0" xfId="0" applyFont="1" applyFill="1" applyBorder="1" applyAlignment="1" applyProtection="1">
      <alignment horizontal="center"/>
      <protection/>
    </xf>
    <xf numFmtId="164" fontId="77" fillId="37" borderId="0" xfId="0" applyFont="1" applyFill="1" applyBorder="1" applyAlignment="1" applyProtection="1">
      <alignment horizontal="center"/>
      <protection/>
    </xf>
    <xf numFmtId="164" fontId="0" fillId="37" borderId="0" xfId="0" applyFont="1" applyFill="1" applyAlignment="1" applyProtection="1">
      <alignment/>
      <protection/>
    </xf>
    <xf numFmtId="165" fontId="78" fillId="37" borderId="0" xfId="0" applyNumberFormat="1" applyFont="1" applyFill="1" applyBorder="1" applyAlignment="1" applyProtection="1">
      <alignment horizontal="center"/>
      <protection/>
    </xf>
    <xf numFmtId="164" fontId="0" fillId="37" borderId="0" xfId="0" applyFont="1" applyFill="1" applyAlignment="1" applyProtection="1">
      <alignment horizontal="center" vertical="center"/>
      <protection/>
    </xf>
    <xf numFmtId="164" fontId="0" fillId="37" borderId="0" xfId="0" applyFont="1" applyFill="1" applyAlignment="1" applyProtection="1">
      <alignment horizontal="center"/>
      <protection/>
    </xf>
    <xf numFmtId="164" fontId="78" fillId="37" borderId="0" xfId="0" applyFont="1" applyFill="1" applyBorder="1" applyAlignment="1" applyProtection="1">
      <alignment horizontal="center"/>
      <protection/>
    </xf>
    <xf numFmtId="164" fontId="75" fillId="36" borderId="0" xfId="0" applyFont="1" applyFill="1" applyBorder="1" applyAlignment="1" applyProtection="1">
      <alignment horizontal="center"/>
      <protection/>
    </xf>
    <xf numFmtId="164" fontId="76" fillId="37" borderId="0" xfId="0" applyFont="1" applyFill="1" applyBorder="1" applyAlignment="1" applyProtection="1">
      <alignment horizontal="center"/>
      <protection/>
    </xf>
    <xf numFmtId="164" fontId="76" fillId="37" borderId="0" xfId="0" applyFont="1" applyFill="1" applyAlignment="1" applyProtection="1">
      <alignment horizontal="right"/>
      <protection/>
    </xf>
    <xf numFmtId="166" fontId="79" fillId="37" borderId="0" xfId="0" applyNumberFormat="1" applyFont="1" applyFill="1" applyBorder="1" applyAlignment="1" applyProtection="1">
      <alignment horizontal="center"/>
      <protection locked="0"/>
    </xf>
    <xf numFmtId="164" fontId="76" fillId="37" borderId="0" xfId="0" applyFont="1" applyFill="1" applyAlignment="1" applyProtection="1">
      <alignment horizontal="left"/>
      <protection/>
    </xf>
    <xf numFmtId="164" fontId="76" fillId="37" borderId="0" xfId="0" applyFont="1" applyFill="1" applyAlignment="1" applyProtection="1">
      <alignment/>
      <protection/>
    </xf>
    <xf numFmtId="164" fontId="78" fillId="37" borderId="0" xfId="0" applyFont="1" applyFill="1" applyAlignment="1" applyProtection="1">
      <alignment horizontal="right"/>
      <protection/>
    </xf>
    <xf numFmtId="164" fontId="76" fillId="37" borderId="0" xfId="0" applyFont="1" applyFill="1" applyBorder="1" applyAlignment="1" applyProtection="1">
      <alignment horizontal="right"/>
      <protection/>
    </xf>
    <xf numFmtId="168" fontId="79" fillId="37" borderId="0" xfId="0" applyNumberFormat="1" applyFont="1" applyFill="1" applyAlignment="1" applyProtection="1">
      <alignment horizontal="center"/>
      <protection locked="0"/>
    </xf>
    <xf numFmtId="164" fontId="0" fillId="35" borderId="0" xfId="0" applyFont="1" applyFill="1" applyBorder="1" applyAlignment="1" applyProtection="1">
      <alignment horizontal="center"/>
      <protection/>
    </xf>
    <xf numFmtId="164" fontId="0" fillId="9" borderId="0" xfId="0" applyFont="1" applyFill="1" applyAlignment="1" applyProtection="1">
      <alignment/>
      <protection/>
    </xf>
    <xf numFmtId="164" fontId="42" fillId="38" borderId="0" xfId="0" applyFont="1" applyFill="1" applyBorder="1" applyAlignment="1" applyProtection="1">
      <alignment horizontal="left"/>
      <protection/>
    </xf>
    <xf numFmtId="164" fontId="75" fillId="9" borderId="0" xfId="0" applyFont="1" applyFill="1" applyAlignment="1" applyProtection="1">
      <alignment/>
      <protection/>
    </xf>
    <xf numFmtId="164" fontId="84" fillId="9" borderId="0" xfId="0" applyFont="1" applyFill="1" applyAlignment="1" applyProtection="1">
      <alignment/>
      <protection/>
    </xf>
    <xf numFmtId="164" fontId="0" fillId="28" borderId="0" xfId="0" applyFont="1" applyFill="1" applyAlignment="1" applyProtection="1">
      <alignment/>
      <protection/>
    </xf>
    <xf numFmtId="164" fontId="76" fillId="9" borderId="0" xfId="0" applyFont="1" applyFill="1" applyBorder="1" applyAlignment="1" applyProtection="1">
      <alignment horizontal="center"/>
      <protection/>
    </xf>
    <xf numFmtId="165" fontId="84" fillId="9" borderId="0" xfId="0" applyNumberFormat="1" applyFont="1" applyFill="1" applyAlignment="1" applyProtection="1">
      <alignment/>
      <protection/>
    </xf>
    <xf numFmtId="164" fontId="77" fillId="28" borderId="0" xfId="0" applyFont="1" applyFill="1" applyBorder="1" applyAlignment="1" applyProtection="1">
      <alignment horizontal="center"/>
      <protection/>
    </xf>
    <xf numFmtId="164" fontId="0" fillId="28" borderId="0" xfId="0" applyFont="1" applyFill="1" applyAlignment="1" applyProtection="1">
      <alignment/>
      <protection/>
    </xf>
    <xf numFmtId="165" fontId="78" fillId="9" borderId="0" xfId="0" applyNumberFormat="1" applyFont="1" applyFill="1" applyBorder="1" applyAlignment="1" applyProtection="1">
      <alignment horizontal="center"/>
      <protection/>
    </xf>
    <xf numFmtId="164" fontId="0" fillId="28" borderId="0" xfId="0" applyFont="1" applyFill="1" applyAlignment="1" applyProtection="1">
      <alignment horizontal="center" vertical="center"/>
      <protection/>
    </xf>
    <xf numFmtId="164" fontId="0" fillId="28" borderId="0" xfId="0" applyFont="1" applyFill="1" applyAlignment="1" applyProtection="1">
      <alignment horizontal="center"/>
      <protection/>
    </xf>
    <xf numFmtId="164" fontId="75" fillId="9" borderId="0" xfId="0" applyFont="1" applyFill="1" applyBorder="1" applyAlignment="1" applyProtection="1">
      <alignment horizontal="left"/>
      <protection/>
    </xf>
    <xf numFmtId="164" fontId="78" fillId="9" borderId="0" xfId="0" applyFont="1" applyFill="1" applyBorder="1" applyAlignment="1" applyProtection="1">
      <alignment horizontal="center"/>
      <protection/>
    </xf>
    <xf numFmtId="164" fontId="0" fillId="9" borderId="0" xfId="0" applyFont="1" applyFill="1" applyAlignment="1" applyProtection="1">
      <alignment/>
      <protection/>
    </xf>
    <xf numFmtId="164" fontId="75" fillId="9" borderId="0" xfId="0" applyFont="1" applyFill="1" applyBorder="1" applyAlignment="1" applyProtection="1">
      <alignment horizontal="center"/>
      <protection/>
    </xf>
    <xf numFmtId="164" fontId="76" fillId="28" borderId="0" xfId="0" applyFont="1" applyFill="1" applyAlignment="1" applyProtection="1">
      <alignment horizontal="right"/>
      <protection/>
    </xf>
    <xf numFmtId="166" fontId="79" fillId="28" borderId="0" xfId="0" applyNumberFormat="1" applyFont="1" applyFill="1" applyBorder="1" applyAlignment="1" applyProtection="1">
      <alignment horizontal="center"/>
      <protection/>
    </xf>
    <xf numFmtId="164" fontId="76" fillId="28" borderId="0" xfId="0" applyFont="1" applyFill="1" applyAlignment="1" applyProtection="1">
      <alignment horizontal="left"/>
      <protection/>
    </xf>
    <xf numFmtId="164" fontId="76" fillId="28" borderId="0" xfId="0" applyFont="1" applyFill="1" applyAlignment="1" applyProtection="1">
      <alignment/>
      <protection/>
    </xf>
    <xf numFmtId="164" fontId="76" fillId="28" borderId="0" xfId="0" applyFont="1" applyFill="1" applyBorder="1" applyAlignment="1" applyProtection="1">
      <alignment horizontal="center"/>
      <protection/>
    </xf>
    <xf numFmtId="164" fontId="0" fillId="9" borderId="0" xfId="0" applyFont="1" applyFill="1" applyBorder="1" applyAlignment="1" applyProtection="1">
      <alignment horizontal="left"/>
      <protection/>
    </xf>
    <xf numFmtId="164" fontId="78" fillId="28" borderId="0" xfId="0" applyFont="1" applyFill="1" applyAlignment="1" applyProtection="1">
      <alignment horizontal="right"/>
      <protection/>
    </xf>
    <xf numFmtId="164" fontId="76" fillId="28" borderId="0" xfId="0" applyFont="1" applyFill="1" applyBorder="1" applyAlignment="1" applyProtection="1">
      <alignment horizontal="right"/>
      <protection/>
    </xf>
    <xf numFmtId="168" fontId="79" fillId="28" borderId="0" xfId="0" applyNumberFormat="1" applyFont="1" applyFill="1" applyAlignment="1" applyProtection="1">
      <alignment horizontal="center"/>
      <protection/>
    </xf>
    <xf numFmtId="164" fontId="77" fillId="9" borderId="0" xfId="0" applyFont="1" applyFill="1" applyAlignment="1" applyProtection="1">
      <alignment/>
      <protection/>
    </xf>
    <xf numFmtId="164" fontId="77" fillId="9" borderId="0" xfId="0" applyFont="1" applyFill="1" applyAlignment="1" applyProtection="1">
      <alignment horizontal="center"/>
      <protection/>
    </xf>
    <xf numFmtId="164" fontId="45" fillId="28" borderId="0" xfId="0" applyFont="1" applyFill="1" applyBorder="1" applyAlignment="1" applyProtection="1">
      <alignment horizontal="right"/>
      <protection/>
    </xf>
    <xf numFmtId="164" fontId="73" fillId="28" borderId="0" xfId="0" applyFont="1" applyFill="1" applyAlignment="1" applyProtection="1">
      <alignment horizontal="center"/>
      <protection locked="0"/>
    </xf>
    <xf numFmtId="164" fontId="45" fillId="28" borderId="0" xfId="0" applyFont="1" applyFill="1" applyAlignment="1" applyProtection="1">
      <alignment/>
      <protection/>
    </xf>
    <xf numFmtId="165" fontId="73" fillId="28" borderId="0" xfId="0" applyNumberFormat="1" applyFont="1" applyFill="1" applyAlignment="1" applyProtection="1">
      <alignment horizontal="center"/>
      <protection locked="0"/>
    </xf>
    <xf numFmtId="164" fontId="45" fillId="28" borderId="0" xfId="0" applyFont="1" applyFill="1" applyBorder="1" applyAlignment="1" applyProtection="1">
      <alignment horizontal="center"/>
      <protection/>
    </xf>
    <xf numFmtId="164" fontId="76" fillId="9" borderId="0" xfId="0" applyFont="1" applyFill="1" applyAlignment="1" applyProtection="1">
      <alignment horizontal="center"/>
      <protection/>
    </xf>
    <xf numFmtId="164" fontId="43" fillId="28" borderId="0" xfId="0" applyFont="1" applyFill="1" applyBorder="1" applyAlignment="1" applyProtection="1">
      <alignment horizontal="center"/>
      <protection/>
    </xf>
    <xf numFmtId="164" fontId="42" fillId="38" borderId="0" xfId="0" applyFont="1" applyFill="1" applyBorder="1" applyAlignment="1" applyProtection="1">
      <alignment horizontal="left" wrapText="1"/>
      <protection/>
    </xf>
    <xf numFmtId="164" fontId="84" fillId="28" borderId="0" xfId="0" applyFont="1" applyFill="1" applyBorder="1" applyAlignment="1" applyProtection="1">
      <alignment horizontal="center"/>
      <protection/>
    </xf>
    <xf numFmtId="164" fontId="5" fillId="39" borderId="0" xfId="0" applyFont="1" applyFill="1" applyAlignment="1">
      <alignment horizontal="right"/>
    </xf>
    <xf numFmtId="164" fontId="18" fillId="40" borderId="0" xfId="0" applyFont="1" applyFill="1" applyAlignment="1" applyProtection="1">
      <alignment horizontal="center" vertical="center"/>
      <protection locked="0"/>
    </xf>
    <xf numFmtId="164" fontId="5" fillId="39" borderId="0" xfId="0" applyFont="1" applyFill="1" applyAlignment="1">
      <alignment horizontal="left"/>
    </xf>
    <xf numFmtId="164" fontId="5" fillId="39" borderId="0" xfId="0" applyFont="1" applyFill="1" applyAlignment="1">
      <alignment horizontal="right" wrapText="1"/>
    </xf>
    <xf numFmtId="164" fontId="18" fillId="22" borderId="0" xfId="0" applyFont="1" applyFill="1" applyAlignment="1">
      <alignment horizontal="center" vertical="center"/>
    </xf>
    <xf numFmtId="164" fontId="2" fillId="41" borderId="0" xfId="0" applyFont="1" applyFill="1" applyBorder="1" applyAlignment="1">
      <alignment horizontal="center"/>
    </xf>
    <xf numFmtId="164" fontId="5" fillId="41" borderId="0" xfId="0" applyFont="1" applyFill="1" applyBorder="1" applyAlignment="1">
      <alignment horizontal="center"/>
    </xf>
    <xf numFmtId="165" fontId="18" fillId="22" borderId="0" xfId="0" applyNumberFormat="1" applyFont="1" applyFill="1" applyAlignment="1">
      <alignment horizontal="center" vertical="center"/>
    </xf>
    <xf numFmtId="165" fontId="20" fillId="40" borderId="0" xfId="0" applyNumberFormat="1" applyFont="1" applyFill="1" applyAlignment="1" applyProtection="1">
      <alignment horizontal="center" vertical="center"/>
      <protection locked="0"/>
    </xf>
    <xf numFmtId="169" fontId="2" fillId="41" borderId="0" xfId="0" applyNumberFormat="1" applyFont="1" applyFill="1" applyAlignment="1">
      <alignment horizontal="center"/>
    </xf>
    <xf numFmtId="164" fontId="2" fillId="41" borderId="0" xfId="0" applyFont="1" applyFill="1" applyAlignment="1">
      <alignment/>
    </xf>
    <xf numFmtId="164" fontId="2" fillId="41" borderId="0" xfId="0" applyNumberFormat="1" applyFont="1" applyFill="1" applyAlignment="1">
      <alignment horizontal="center"/>
    </xf>
    <xf numFmtId="169" fontId="20" fillId="40" borderId="0" xfId="0" applyNumberFormat="1" applyFont="1" applyFill="1" applyAlignment="1" applyProtection="1">
      <alignment horizontal="center" vertical="center"/>
      <protection locked="0"/>
    </xf>
    <xf numFmtId="165" fontId="2" fillId="41" borderId="0" xfId="0" applyNumberFormat="1" applyFont="1" applyFill="1" applyAlignment="1">
      <alignment horizontal="center"/>
    </xf>
    <xf numFmtId="164" fontId="0" fillId="42" borderId="0" xfId="0" applyFill="1" applyAlignment="1">
      <alignment/>
    </xf>
    <xf numFmtId="164" fontId="0" fillId="42" borderId="0" xfId="0" applyFill="1" applyAlignment="1">
      <alignment horizontal="center"/>
    </xf>
    <xf numFmtId="164" fontId="5" fillId="43" borderId="0" xfId="0" applyFont="1" applyFill="1" applyBorder="1" applyAlignment="1">
      <alignment horizontal="center" vertical="center"/>
    </xf>
    <xf numFmtId="164" fontId="5" fillId="43" borderId="0" xfId="0" applyFont="1" applyFill="1" applyAlignment="1">
      <alignment horizontal="center" vertical="center"/>
    </xf>
    <xf numFmtId="165" fontId="88" fillId="44" borderId="0" xfId="0" applyNumberFormat="1" applyFont="1" applyFill="1" applyAlignment="1" applyProtection="1">
      <alignment horizontal="center"/>
      <protection locked="0"/>
    </xf>
    <xf numFmtId="165" fontId="2" fillId="44" borderId="0" xfId="0" applyNumberFormat="1" applyFont="1" applyFill="1" applyBorder="1" applyAlignment="1">
      <alignment horizontal="center"/>
    </xf>
    <xf numFmtId="164" fontId="88" fillId="44" borderId="0" xfId="0" applyFont="1" applyFill="1" applyAlignment="1" applyProtection="1">
      <alignment horizontal="center"/>
      <protection locked="0"/>
    </xf>
    <xf numFmtId="164" fontId="2" fillId="43" borderId="0" xfId="0" applyFont="1" applyFill="1" applyBorder="1" applyAlignment="1">
      <alignment horizontal="center"/>
    </xf>
    <xf numFmtId="164" fontId="2" fillId="45" borderId="0" xfId="0" applyFont="1" applyFill="1" applyAlignment="1">
      <alignment horizontal="right"/>
    </xf>
    <xf numFmtId="165" fontId="88" fillId="14" borderId="0" xfId="0" applyNumberFormat="1" applyFont="1" applyFill="1" applyAlignment="1" applyProtection="1">
      <alignment horizontal="center"/>
      <protection locked="0"/>
    </xf>
    <xf numFmtId="164" fontId="2" fillId="45" borderId="0" xfId="0" applyFont="1" applyFill="1" applyAlignment="1">
      <alignment horizontal="center"/>
    </xf>
    <xf numFmtId="164" fontId="2" fillId="45" borderId="0" xfId="0" applyFont="1" applyFill="1" applyAlignment="1">
      <alignment/>
    </xf>
    <xf numFmtId="164" fontId="2" fillId="45" borderId="0" xfId="0" applyFont="1" applyFill="1" applyBorder="1" applyAlignment="1">
      <alignment horizontal="center"/>
    </xf>
    <xf numFmtId="164" fontId="89" fillId="42" borderId="0" xfId="0" applyFont="1" applyFill="1" applyAlignment="1">
      <alignment/>
    </xf>
    <xf numFmtId="164" fontId="5" fillId="45" borderId="0" xfId="0" applyFont="1" applyFill="1" applyBorder="1" applyAlignment="1">
      <alignment horizontal="center" vertical="center"/>
    </xf>
    <xf numFmtId="165" fontId="5" fillId="14" borderId="0" xfId="0" applyNumberFormat="1" applyFont="1" applyFill="1" applyBorder="1" applyAlignment="1">
      <alignment horizontal="center"/>
    </xf>
    <xf numFmtId="164" fontId="5" fillId="45" borderId="0" xfId="0" applyFont="1" applyFill="1" applyAlignment="1">
      <alignment horizontal="center"/>
    </xf>
    <xf numFmtId="165" fontId="2" fillId="14" borderId="0" xfId="0" applyNumberFormat="1" applyFont="1" applyFill="1" applyBorder="1" applyAlignment="1">
      <alignment horizontal="center"/>
    </xf>
    <xf numFmtId="164" fontId="5" fillId="45" borderId="41" xfId="0" applyFont="1" applyFill="1" applyBorder="1" applyAlignment="1">
      <alignment horizontal="center"/>
    </xf>
    <xf numFmtId="165" fontId="5" fillId="45" borderId="42" xfId="0" applyNumberFormat="1" applyFont="1" applyFill="1" applyBorder="1" applyAlignment="1">
      <alignment horizontal="center" vertical="center"/>
    </xf>
    <xf numFmtId="165" fontId="2" fillId="14" borderId="42" xfId="0" applyNumberFormat="1" applyFont="1" applyFill="1" applyBorder="1" applyAlignment="1">
      <alignment horizontal="left"/>
    </xf>
    <xf numFmtId="165" fontId="2" fillId="14" borderId="43" xfId="0" applyNumberFormat="1" applyFont="1" applyFill="1" applyBorder="1" applyAlignment="1">
      <alignment horizontal="left"/>
    </xf>
    <xf numFmtId="165" fontId="5" fillId="14" borderId="44" xfId="0" applyNumberFormat="1" applyFont="1" applyFill="1" applyBorder="1" applyAlignment="1">
      <alignment horizontal="right"/>
    </xf>
    <xf numFmtId="165" fontId="5" fillId="14" borderId="45" xfId="0" applyNumberFormat="1" applyFont="1" applyFill="1" applyBorder="1" applyAlignment="1">
      <alignment horizontal="right"/>
    </xf>
    <xf numFmtId="165" fontId="2" fillId="14" borderId="46" xfId="0" applyNumberFormat="1" applyFont="1" applyFill="1" applyBorder="1" applyAlignment="1">
      <alignment horizontal="left"/>
    </xf>
    <xf numFmtId="164" fontId="2" fillId="45" borderId="47" xfId="0" applyFont="1" applyFill="1" applyBorder="1" applyAlignment="1">
      <alignment horizontal="center"/>
    </xf>
    <xf numFmtId="164" fontId="0" fillId="20" borderId="0" xfId="0" applyFill="1" applyAlignment="1">
      <alignment/>
    </xf>
    <xf numFmtId="164" fontId="0" fillId="20" borderId="48" xfId="0" applyFill="1" applyBorder="1" applyAlignment="1">
      <alignment/>
    </xf>
    <xf numFmtId="164" fontId="0" fillId="20" borderId="0" xfId="0" applyFont="1" applyFill="1" applyAlignment="1" applyProtection="1">
      <alignment horizontal="center"/>
      <protection locked="0"/>
    </xf>
    <xf numFmtId="164" fontId="0" fillId="21" borderId="22" xfId="0" applyFont="1" applyFill="1" applyBorder="1" applyAlignment="1">
      <alignment horizontal="center"/>
    </xf>
    <xf numFmtId="164" fontId="0" fillId="20" borderId="49" xfId="0" applyFill="1" applyBorder="1" applyAlignment="1">
      <alignment/>
    </xf>
    <xf numFmtId="164" fontId="0" fillId="20" borderId="50" xfId="0" applyFill="1" applyBorder="1" applyAlignment="1">
      <alignment/>
    </xf>
    <xf numFmtId="164" fontId="90" fillId="21" borderId="23" xfId="0" applyFont="1" applyFill="1" applyBorder="1" applyAlignment="1">
      <alignment horizontal="center" vertical="center"/>
    </xf>
    <xf numFmtId="164" fontId="0" fillId="20" borderId="51" xfId="0" applyFill="1" applyBorder="1" applyAlignment="1">
      <alignment/>
    </xf>
    <xf numFmtId="164" fontId="0" fillId="20" borderId="52" xfId="0" applyFill="1" applyBorder="1" applyAlignment="1">
      <alignment/>
    </xf>
    <xf numFmtId="164" fontId="0" fillId="20" borderId="53" xfId="0" applyFill="1" applyBorder="1" applyAlignment="1">
      <alignment/>
    </xf>
    <xf numFmtId="164" fontId="0" fillId="20" borderId="54" xfId="0" applyFill="1" applyBorder="1" applyAlignment="1">
      <alignment/>
    </xf>
    <xf numFmtId="164" fontId="0" fillId="20" borderId="0" xfId="0" applyFill="1" applyBorder="1" applyAlignment="1">
      <alignment/>
    </xf>
    <xf numFmtId="164" fontId="91" fillId="20" borderId="0" xfId="0" applyNumberFormat="1" applyFont="1" applyFill="1" applyBorder="1" applyAlignment="1">
      <alignment horizontal="center" vertical="center"/>
    </xf>
    <xf numFmtId="164" fontId="0" fillId="20" borderId="55" xfId="0" applyFill="1" applyBorder="1" applyAlignment="1">
      <alignment/>
    </xf>
    <xf numFmtId="164" fontId="91" fillId="20" borderId="0" xfId="0" applyNumberFormat="1" applyFont="1" applyFill="1" applyAlignment="1">
      <alignment vertical="center"/>
    </xf>
    <xf numFmtId="164" fontId="0" fillId="20" borderId="0" xfId="0" applyFont="1" applyFill="1" applyAlignment="1">
      <alignment horizontal="right"/>
    </xf>
    <xf numFmtId="164" fontId="0" fillId="26" borderId="56" xfId="0" applyFill="1" applyBorder="1" applyAlignment="1" applyProtection="1">
      <alignment horizontal="center"/>
      <protection locked="0"/>
    </xf>
    <xf numFmtId="164" fontId="0" fillId="21" borderId="0" xfId="0" applyFill="1" applyBorder="1" applyAlignment="1">
      <alignment horizontal="center"/>
    </xf>
    <xf numFmtId="164" fontId="0" fillId="20" borderId="0" xfId="0" applyFill="1" applyBorder="1" applyAlignment="1">
      <alignment/>
    </xf>
    <xf numFmtId="164" fontId="22" fillId="16" borderId="14" xfId="0" applyNumberFormat="1" applyFont="1" applyFill="1" applyBorder="1" applyAlignment="1" applyProtection="1">
      <alignment horizontal="center"/>
      <protection locked="0"/>
    </xf>
    <xf numFmtId="164" fontId="22" fillId="16" borderId="0" xfId="0" applyNumberFormat="1" applyFont="1" applyFill="1" applyBorder="1" applyAlignment="1" applyProtection="1">
      <alignment horizontal="center"/>
      <protection locked="0"/>
    </xf>
    <xf numFmtId="164" fontId="25" fillId="13" borderId="0" xfId="0" applyFont="1" applyFill="1" applyBorder="1" applyAlignment="1">
      <alignment horizontal="center" vertical="center" textRotation="180" shrinkToFit="1"/>
    </xf>
    <xf numFmtId="164" fontId="26" fillId="13" borderId="0" xfId="0" applyFont="1" applyFill="1" applyAlignment="1">
      <alignment horizontal="left"/>
    </xf>
    <xf numFmtId="164" fontId="5" fillId="13" borderId="0" xfId="0" applyFont="1" applyFill="1" applyBorder="1" applyAlignment="1">
      <alignment horizontal="left" wrapText="1"/>
    </xf>
    <xf numFmtId="164" fontId="21" fillId="16" borderId="23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dxfs count="2">
    <dxf>
      <font>
        <b val="0"/>
        <sz val="11"/>
        <color rgb="FF000000"/>
      </font>
      <border>
        <left>
          <color rgb="FF000000"/>
        </left>
        <right>
          <color rgb="FF000000"/>
        </right>
        <top/>
        <bottom style="dashDotDot">
          <color rgb="FF0000FF"/>
        </bottom>
      </border>
    </dxf>
    <dxf>
      <font>
        <b val="0"/>
        <sz val="11"/>
        <color rgb="FFC0C0C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8E1C00"/>
      <rgbColor rgb="00FFFF00"/>
      <rgbColor rgb="00FF00FF"/>
      <rgbColor rgb="00FFFFD7"/>
      <rgbColor rgb="00800000"/>
      <rgbColor rgb="00008000"/>
      <rgbColor rgb="00001C72"/>
      <rgbColor rgb="00808000"/>
      <rgbColor rgb="00800080"/>
      <rgbColor rgb="002A6099"/>
      <rgbColor rgb="00C0C0C0"/>
      <rgbColor rgb="00808080"/>
      <rgbColor rgb="00E0C2CD"/>
      <rgbColor rgb="00993366"/>
      <rgbColor rgb="00FFFFCC"/>
      <rgbColor rgb="00CCFFFF"/>
      <rgbColor rgb="00660066"/>
      <rgbColor rgb="00FF8080"/>
      <rgbColor rgb="000066CC"/>
      <rgbColor rgb="00CCCCFF"/>
      <rgbColor rgb="004E102D"/>
      <rgbColor rgb="00D24F00"/>
      <rgbColor rgb="00FFE370"/>
      <rgbColor rgb="00F7D1D5"/>
      <rgbColor rgb="00720072"/>
      <rgbColor rgb="008B1700"/>
      <rgbColor rgb="001CAAAA"/>
      <rgbColor rgb="00FFFFB5"/>
      <rgbColor rgb="0000A933"/>
      <rgbColor rgb="00C6E3D2"/>
      <rgbColor rgb="00CCFFCC"/>
      <rgbColor rgb="00FFFF99"/>
      <rgbColor rgb="0099CCFF"/>
      <rgbColor rgb="00FF99CC"/>
      <rgbColor rgb="00CC99FF"/>
      <rgbColor rgb="00FFCC99"/>
      <rgbColor rgb="006076C6"/>
      <rgbColor rgb="0033CCCC"/>
      <rgbColor rgb="00B8A200"/>
      <rgbColor rgb="00FFCC00"/>
      <rgbColor rgb="00FF9900"/>
      <rgbColor rgb="00FF6600"/>
      <rgbColor rgb="00666699"/>
      <rgbColor rgb="00969696"/>
      <rgbColor rgb="00003366"/>
      <rgbColor rgb="00339966"/>
      <rgbColor rgb="0033602D"/>
      <rgbColor rgb="0041190D"/>
      <rgbColor rgb="00993300"/>
      <rgbColor rgb="00A1467E"/>
      <rgbColor rgb="00333399"/>
      <rgbColor rgb="0033332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4375"/>
          <c:w val="0.88975"/>
          <c:h val="0.86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xVal>
            <c:numRef>
              <c:f>'Carlo Problems'!$H$2:$H$4</c:f>
              <c:numCache/>
            </c:numRef>
          </c:xVal>
          <c:yVal>
            <c:numRef>
              <c:f>'Carlo Problems'!$I$2:$I$4</c:f>
              <c:numCache/>
            </c:numRef>
          </c:yVal>
          <c:smooth val="0"/>
        </c:ser>
        <c:axId val="17880072"/>
        <c:axId val="8119721"/>
      </c:scatterChart>
      <c:valAx>
        <c:axId val="1788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19721"/>
        <c:crossesAt val="0"/>
        <c:crossBetween val="midCat"/>
        <c:dispUnits/>
      </c:valAx>
      <c:valAx>
        <c:axId val="811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80072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75"/>
          <c:w val="0.972"/>
          <c:h val="0.95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0"/>
            <c:spPr>
              <a:noFill/>
              <a:ln>
                <a:solidFill>
                  <a:srgbClr val="666699"/>
                </a:solidFill>
              </a:ln>
            </c:spPr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ize val="50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</c:dLbl>
            <c:delete val="1"/>
          </c:dLbls>
          <c:xVal>
            <c:numRef>
              <c:f>'Vector Addition'!$H$3:$H$13</c:f>
              <c:numCache/>
            </c:numRef>
          </c:xVal>
          <c:yVal>
            <c:numRef>
              <c:f>'Vector Addition'!$I$3:$I$13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33332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2A"/>
              </a:solidFill>
              <a:ln>
                <a:solidFill>
                  <a:srgbClr val="33332A"/>
                </a:solidFill>
              </a:ln>
            </c:spPr>
          </c:marker>
          <c:xVal>
            <c:numRef>
              <c:f>('Vector Addition'!$H$3,'Vector Addition'!$H$13)</c:f>
              <c:numCache/>
            </c:numRef>
          </c:xVal>
          <c:yVal>
            <c:numRef>
              <c:f>('Vector Addition'!$I$3,'Vector Addition'!$I$13)</c:f>
              <c:numCache/>
            </c:numRef>
          </c:yVal>
          <c:smooth val="0"/>
        </c:ser>
        <c:axId val="27692030"/>
        <c:axId val="58391447"/>
      </c:scatterChart>
      <c:valAx>
        <c:axId val="2769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91447"/>
        <c:crossesAt val="0"/>
        <c:crossBetween val="midCat"/>
        <c:dispUnits/>
        <c:majorUnit val="20"/>
      </c:valAx>
      <c:valAx>
        <c:axId val="5839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92030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1"/>
          <c:w val="0.9455"/>
          <c:h val="0.6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'FBD - Painter Problem'!$A$5:$A$6</c:f>
              <c:numCache/>
            </c:numRef>
          </c:xVal>
          <c:yVal>
            <c:numRef>
              <c:f>'FBD - Painter Problem'!$B$5:$B$6</c:f>
              <c:numCache/>
            </c:numRef>
          </c:yVal>
          <c:smooth val="0"/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Problem'!$A$7:$A$8</c:f>
              <c:numCache/>
            </c:numRef>
          </c:xVal>
          <c:yVal>
            <c:numRef>
              <c:f>'FBD - Painter Problem'!$B$7:$B$8</c:f>
              <c:numCache/>
            </c:numRef>
          </c:yVal>
          <c:smooth val="0"/>
        </c:ser>
        <c:ser>
          <c:idx val="2"/>
          <c:order val="2"/>
          <c:tx>
            <c:strRef>
              <c:f>#N/A</c:f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Problem'!$A$3:$A$4</c:f>
              <c:numCache/>
            </c:numRef>
          </c:xVal>
          <c:yVal>
            <c:numRef>
              <c:f>'FBD - Painter Problem'!$B$3:$B$4</c:f>
              <c:numCache/>
            </c:numRef>
          </c:yVal>
          <c:smooth val="0"/>
        </c:ser>
        <c:ser>
          <c:idx val="3"/>
          <c:order val="3"/>
          <c:tx>
            <c:strRef>
              <c:f>#N/A</c:f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Problem'!$A$9:$A$10</c:f>
              <c:numCache/>
            </c:numRef>
          </c:xVal>
          <c:yVal>
            <c:numRef>
              <c:f>'FBD - Painter Problem'!$B$9:$B$10</c:f>
              <c:numCache/>
            </c:numRef>
          </c:yVal>
          <c:smooth val="0"/>
        </c:ser>
        <c:ser>
          <c:idx val="4"/>
          <c:order val="4"/>
          <c:tx>
            <c:strRef>
              <c:f>#N/A</c:f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Problem'!$A$11:$A$12</c:f>
              <c:numCache/>
            </c:numRef>
          </c:xVal>
          <c:yVal>
            <c:numRef>
              <c:f>'FBD - Painter Problem'!$B$11:$B$12</c:f>
              <c:numCache/>
            </c:numRef>
          </c:yVal>
          <c:smooth val="0"/>
        </c:ser>
        <c:ser>
          <c:idx val="5"/>
          <c:order val="5"/>
          <c:tx>
            <c:strRef>
              <c:f>#N/A</c:f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'FBD - Painter Problem'!$A$13:$A$14</c:f>
              <c:numCache/>
            </c:numRef>
          </c:xVal>
          <c:yVal>
            <c:numRef>
              <c:f>'FBD - Painter Problem'!$B$13:$B$14</c:f>
              <c:numCache/>
            </c:numRef>
          </c:yVal>
          <c:smooth val="0"/>
        </c:ser>
        <c:axId val="7738948"/>
        <c:axId val="7511061"/>
      </c:scatterChart>
      <c:valAx>
        <c:axId val="7738948"/>
        <c:scaling>
          <c:orientation val="minMax"/>
          <c:max val="5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11061"/>
        <c:crossesAt val="0"/>
        <c:crossBetween val="midCat"/>
        <c:dispUnits/>
        <c:majorUnit val="1"/>
      </c:valAx>
      <c:valAx>
        <c:axId val="7511061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38948"/>
        <c:crossesAt val="0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5"/>
          <c:y val="0.76125"/>
          <c:w val="0.568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161925</xdr:rowOff>
    </xdr:from>
    <xdr:to>
      <xdr:col>4</xdr:col>
      <xdr:colOff>9525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933575"/>
        <a:ext cx="38766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47625</xdr:rowOff>
    </xdr:from>
    <xdr:to>
      <xdr:col>21</xdr:col>
      <xdr:colOff>304800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800350" y="142875"/>
        <a:ext cx="8248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38100</xdr:rowOff>
    </xdr:from>
    <xdr:to>
      <xdr:col>6</xdr:col>
      <xdr:colOff>390525</xdr:colOff>
      <xdr:row>7</xdr:row>
      <xdr:rowOff>38100</xdr:rowOff>
    </xdr:to>
    <xdr:sp>
      <xdr:nvSpPr>
        <xdr:cNvPr id="1" name="Straight Connector 26"/>
        <xdr:cNvSpPr>
          <a:spLocks/>
        </xdr:cNvSpPr>
      </xdr:nvSpPr>
      <xdr:spPr>
        <a:xfrm>
          <a:off x="361950" y="1343025"/>
          <a:ext cx="2085975" cy="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142875</xdr:rowOff>
    </xdr:from>
    <xdr:to>
      <xdr:col>5</xdr:col>
      <xdr:colOff>57150</xdr:colOff>
      <xdr:row>7</xdr:row>
      <xdr:rowOff>28575</xdr:rowOff>
    </xdr:to>
    <xdr:sp>
      <xdr:nvSpPr>
        <xdr:cNvPr id="2" name="Rectangle 11"/>
        <xdr:cNvSpPr>
          <a:spLocks/>
        </xdr:cNvSpPr>
      </xdr:nvSpPr>
      <xdr:spPr>
        <a:xfrm>
          <a:off x="1076325" y="714375"/>
          <a:ext cx="657225" cy="61912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85725</xdr:rowOff>
    </xdr:from>
    <xdr:to>
      <xdr:col>4</xdr:col>
      <xdr:colOff>333375</xdr:colOff>
      <xdr:row>5</xdr:row>
      <xdr:rowOff>123825</xdr:rowOff>
    </xdr:to>
    <xdr:sp>
      <xdr:nvSpPr>
        <xdr:cNvPr id="3" name="Straight Arrow Connector 2"/>
        <xdr:cNvSpPr>
          <a:spLocks/>
        </xdr:cNvSpPr>
      </xdr:nvSpPr>
      <xdr:spPr>
        <a:xfrm flipV="1">
          <a:off x="1390650" y="466725"/>
          <a:ext cx="9525" cy="5810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104775</xdr:rowOff>
    </xdr:from>
    <xdr:to>
      <xdr:col>4</xdr:col>
      <xdr:colOff>323850</xdr:colOff>
      <xdr:row>5</xdr:row>
      <xdr:rowOff>114300</xdr:rowOff>
    </xdr:to>
    <xdr:sp>
      <xdr:nvSpPr>
        <xdr:cNvPr id="4" name="Straight Arrow Connector 3"/>
        <xdr:cNvSpPr>
          <a:spLocks/>
        </xdr:cNvSpPr>
      </xdr:nvSpPr>
      <xdr:spPr>
        <a:xfrm flipH="1" flipV="1">
          <a:off x="771525" y="1028700"/>
          <a:ext cx="6191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123825</xdr:rowOff>
    </xdr:from>
    <xdr:to>
      <xdr:col>4</xdr:col>
      <xdr:colOff>333375</xdr:colOff>
      <xdr:row>8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1390650" y="1047750"/>
          <a:ext cx="9525" cy="5715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4</xdr:row>
      <xdr:rowOff>38100</xdr:rowOff>
    </xdr:from>
    <xdr:to>
      <xdr:col>5</xdr:col>
      <xdr:colOff>323850</xdr:colOff>
      <xdr:row>5</xdr:row>
      <xdr:rowOff>104775</xdr:rowOff>
    </xdr:to>
    <xdr:sp>
      <xdr:nvSpPr>
        <xdr:cNvPr id="6" name="Straight Arrow Connector 6"/>
        <xdr:cNvSpPr>
          <a:spLocks/>
        </xdr:cNvSpPr>
      </xdr:nvSpPr>
      <xdr:spPr>
        <a:xfrm flipV="1">
          <a:off x="1400175" y="800100"/>
          <a:ext cx="600075" cy="2286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38100</xdr:rowOff>
    </xdr:from>
    <xdr:to>
      <xdr:col>6</xdr:col>
      <xdr:colOff>438150</xdr:colOff>
      <xdr:row>22</xdr:row>
      <xdr:rowOff>47625</xdr:rowOff>
    </xdr:to>
    <xdr:sp>
      <xdr:nvSpPr>
        <xdr:cNvPr id="7" name="Straight Connector 29"/>
        <xdr:cNvSpPr>
          <a:spLocks/>
        </xdr:cNvSpPr>
      </xdr:nvSpPr>
      <xdr:spPr>
        <a:xfrm>
          <a:off x="361950" y="4276725"/>
          <a:ext cx="2133600" cy="9525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19</xdr:row>
      <xdr:rowOff>0</xdr:rowOff>
    </xdr:from>
    <xdr:to>
      <xdr:col>4</xdr:col>
      <xdr:colOff>571500</xdr:colOff>
      <xdr:row>22</xdr:row>
      <xdr:rowOff>28575</xdr:rowOff>
    </xdr:to>
    <xdr:sp>
      <xdr:nvSpPr>
        <xdr:cNvPr id="8" name="Rectangle 31"/>
        <xdr:cNvSpPr>
          <a:spLocks/>
        </xdr:cNvSpPr>
      </xdr:nvSpPr>
      <xdr:spPr>
        <a:xfrm>
          <a:off x="1000125" y="3657600"/>
          <a:ext cx="638175" cy="60960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20</xdr:row>
      <xdr:rowOff>95250</xdr:rowOff>
    </xdr:from>
    <xdr:to>
      <xdr:col>5</xdr:col>
      <xdr:colOff>133350</xdr:colOff>
      <xdr:row>20</xdr:row>
      <xdr:rowOff>104775</xdr:rowOff>
    </xdr:to>
    <xdr:sp>
      <xdr:nvSpPr>
        <xdr:cNvPr id="9" name="Straight Arrow Connector 37"/>
        <xdr:cNvSpPr>
          <a:spLocks/>
        </xdr:cNvSpPr>
      </xdr:nvSpPr>
      <xdr:spPr>
        <a:xfrm flipV="1">
          <a:off x="1304925" y="3952875"/>
          <a:ext cx="5048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31</xdr:row>
      <xdr:rowOff>38100</xdr:rowOff>
    </xdr:from>
    <xdr:to>
      <xdr:col>6</xdr:col>
      <xdr:colOff>447675</xdr:colOff>
      <xdr:row>31</xdr:row>
      <xdr:rowOff>38100</xdr:rowOff>
    </xdr:to>
    <xdr:sp>
      <xdr:nvSpPr>
        <xdr:cNvPr id="10" name="Straight Connector 40"/>
        <xdr:cNvSpPr>
          <a:spLocks/>
        </xdr:cNvSpPr>
      </xdr:nvSpPr>
      <xdr:spPr>
        <a:xfrm>
          <a:off x="361950" y="6000750"/>
          <a:ext cx="2143125" cy="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180975</xdr:rowOff>
    </xdr:from>
    <xdr:to>
      <xdr:col>5</xdr:col>
      <xdr:colOff>57150</xdr:colOff>
      <xdr:row>31</xdr:row>
      <xdr:rowOff>38100</xdr:rowOff>
    </xdr:to>
    <xdr:sp>
      <xdr:nvSpPr>
        <xdr:cNvPr id="11" name="Rectangle 42"/>
        <xdr:cNvSpPr>
          <a:spLocks/>
        </xdr:cNvSpPr>
      </xdr:nvSpPr>
      <xdr:spPr>
        <a:xfrm>
          <a:off x="1066800" y="5372100"/>
          <a:ext cx="666750" cy="62865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26</xdr:row>
      <xdr:rowOff>123825</xdr:rowOff>
    </xdr:from>
    <xdr:to>
      <xdr:col>4</xdr:col>
      <xdr:colOff>257175</xdr:colOff>
      <xdr:row>29</xdr:row>
      <xdr:rowOff>133350</xdr:rowOff>
    </xdr:to>
    <xdr:sp>
      <xdr:nvSpPr>
        <xdr:cNvPr id="12" name="Straight Arrow Connector 43"/>
        <xdr:cNvSpPr>
          <a:spLocks/>
        </xdr:cNvSpPr>
      </xdr:nvSpPr>
      <xdr:spPr>
        <a:xfrm flipV="1">
          <a:off x="1323975" y="5124450"/>
          <a:ext cx="0" cy="5810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123825</xdr:rowOff>
    </xdr:from>
    <xdr:to>
      <xdr:col>4</xdr:col>
      <xdr:colOff>419100</xdr:colOff>
      <xdr:row>29</xdr:row>
      <xdr:rowOff>133350</xdr:rowOff>
    </xdr:to>
    <xdr:sp>
      <xdr:nvSpPr>
        <xdr:cNvPr id="13" name="Straight Arrow Connector 47"/>
        <xdr:cNvSpPr>
          <a:spLocks/>
        </xdr:cNvSpPr>
      </xdr:nvSpPr>
      <xdr:spPr>
        <a:xfrm flipV="1">
          <a:off x="1485900" y="5124450"/>
          <a:ext cx="0" cy="581025"/>
        </a:xfrm>
        <a:prstGeom prst="straightConnector1">
          <a:avLst/>
        </a:prstGeom>
        <a:noFill/>
        <a:ln w="1908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447675</xdr:colOff>
      <xdr:row>29</xdr:row>
      <xdr:rowOff>133350</xdr:rowOff>
    </xdr:from>
    <xdr:to>
      <xdr:col>4</xdr:col>
      <xdr:colOff>247650</xdr:colOff>
      <xdr:row>29</xdr:row>
      <xdr:rowOff>142875</xdr:rowOff>
    </xdr:to>
    <xdr:sp>
      <xdr:nvSpPr>
        <xdr:cNvPr id="14" name="Straight Arrow Connector 53"/>
        <xdr:cNvSpPr>
          <a:spLocks/>
        </xdr:cNvSpPr>
      </xdr:nvSpPr>
      <xdr:spPr>
        <a:xfrm flipH="1">
          <a:off x="733425" y="5705475"/>
          <a:ext cx="5810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133350</xdr:rowOff>
    </xdr:from>
    <xdr:to>
      <xdr:col>4</xdr:col>
      <xdr:colOff>257175</xdr:colOff>
      <xdr:row>32</xdr:row>
      <xdr:rowOff>133350</xdr:rowOff>
    </xdr:to>
    <xdr:sp>
      <xdr:nvSpPr>
        <xdr:cNvPr id="15" name="Straight Arrow Connector 54"/>
        <xdr:cNvSpPr>
          <a:spLocks/>
        </xdr:cNvSpPr>
      </xdr:nvSpPr>
      <xdr:spPr>
        <a:xfrm>
          <a:off x="1323975" y="5705475"/>
          <a:ext cx="0" cy="5810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29</xdr:row>
      <xdr:rowOff>123825</xdr:rowOff>
    </xdr:from>
    <xdr:to>
      <xdr:col>6</xdr:col>
      <xdr:colOff>0</xdr:colOff>
      <xdr:row>29</xdr:row>
      <xdr:rowOff>133350</xdr:rowOff>
    </xdr:to>
    <xdr:sp>
      <xdr:nvSpPr>
        <xdr:cNvPr id="16" name="Straight Arrow Connector 55"/>
        <xdr:cNvSpPr>
          <a:spLocks/>
        </xdr:cNvSpPr>
      </xdr:nvSpPr>
      <xdr:spPr>
        <a:xfrm>
          <a:off x="1476375" y="5695950"/>
          <a:ext cx="581025" cy="9525"/>
        </a:xfrm>
        <a:prstGeom prst="straightConnector1">
          <a:avLst/>
        </a:prstGeom>
        <a:noFill/>
        <a:ln w="1908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114300</xdr:rowOff>
    </xdr:from>
    <xdr:to>
      <xdr:col>5</xdr:col>
      <xdr:colOff>76200</xdr:colOff>
      <xdr:row>9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1647825" y="495300"/>
          <a:ext cx="9525" cy="127635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142875</xdr:rowOff>
    </xdr:from>
    <xdr:to>
      <xdr:col>5</xdr:col>
      <xdr:colOff>57150</xdr:colOff>
      <xdr:row>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76325" y="752475"/>
          <a:ext cx="561975" cy="65722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2</xdr:row>
      <xdr:rowOff>85725</xdr:rowOff>
    </xdr:from>
    <xdr:to>
      <xdr:col>4</xdr:col>
      <xdr:colOff>333375</xdr:colOff>
      <xdr:row>5</xdr:row>
      <xdr:rowOff>123825</xdr:rowOff>
    </xdr:to>
    <xdr:sp>
      <xdr:nvSpPr>
        <xdr:cNvPr id="3" name="Straight Arrow Connector 3"/>
        <xdr:cNvSpPr>
          <a:spLocks/>
        </xdr:cNvSpPr>
      </xdr:nvSpPr>
      <xdr:spPr>
        <a:xfrm flipV="1">
          <a:off x="1390650" y="466725"/>
          <a:ext cx="9525" cy="6572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104775</xdr:rowOff>
    </xdr:from>
    <xdr:to>
      <xdr:col>4</xdr:col>
      <xdr:colOff>323850</xdr:colOff>
      <xdr:row>5</xdr:row>
      <xdr:rowOff>114300</xdr:rowOff>
    </xdr:to>
    <xdr:sp>
      <xdr:nvSpPr>
        <xdr:cNvPr id="4" name="Straight Arrow Connector 4"/>
        <xdr:cNvSpPr>
          <a:spLocks/>
        </xdr:cNvSpPr>
      </xdr:nvSpPr>
      <xdr:spPr>
        <a:xfrm flipH="1" flipV="1">
          <a:off x="771525" y="1104900"/>
          <a:ext cx="61912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123825</xdr:rowOff>
    </xdr:from>
    <xdr:to>
      <xdr:col>4</xdr:col>
      <xdr:colOff>333375</xdr:colOff>
      <xdr:row>8</xdr:row>
      <xdr:rowOff>123825</xdr:rowOff>
    </xdr:to>
    <xdr:sp>
      <xdr:nvSpPr>
        <xdr:cNvPr id="5" name="Straight Arrow Connector 5"/>
        <xdr:cNvSpPr>
          <a:spLocks/>
        </xdr:cNvSpPr>
      </xdr:nvSpPr>
      <xdr:spPr>
        <a:xfrm>
          <a:off x="1390650" y="1123950"/>
          <a:ext cx="9525" cy="5715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5</xdr:row>
      <xdr:rowOff>104775</xdr:rowOff>
    </xdr:from>
    <xdr:to>
      <xdr:col>5</xdr:col>
      <xdr:colOff>342900</xdr:colOff>
      <xdr:row>5</xdr:row>
      <xdr:rowOff>114300</xdr:rowOff>
    </xdr:to>
    <xdr:sp>
      <xdr:nvSpPr>
        <xdr:cNvPr id="6" name="Straight Arrow Connector 19"/>
        <xdr:cNvSpPr>
          <a:spLocks/>
        </xdr:cNvSpPr>
      </xdr:nvSpPr>
      <xdr:spPr>
        <a:xfrm flipV="1">
          <a:off x="1400175" y="1104900"/>
          <a:ext cx="523875" cy="952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76200</xdr:rowOff>
    </xdr:from>
    <xdr:to>
      <xdr:col>5</xdr:col>
      <xdr:colOff>66675</xdr:colOff>
      <xdr:row>20</xdr:row>
      <xdr:rowOff>133350</xdr:rowOff>
    </xdr:to>
    <xdr:sp>
      <xdr:nvSpPr>
        <xdr:cNvPr id="7" name="Straight Connector 20"/>
        <xdr:cNvSpPr>
          <a:spLocks/>
        </xdr:cNvSpPr>
      </xdr:nvSpPr>
      <xdr:spPr>
        <a:xfrm flipV="1">
          <a:off x="1638300" y="2838450"/>
          <a:ext cx="9525" cy="1238250"/>
        </a:xfrm>
        <a:prstGeom prst="line">
          <a:avLst/>
        </a:prstGeom>
        <a:noFill/>
        <a:ln w="9360" cmpd="sng">
          <a:solidFill>
            <a:srgbClr val="0D0D0D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5</xdr:col>
      <xdr:colOff>57150</xdr:colOff>
      <xdr:row>19</xdr:row>
      <xdr:rowOff>38100</xdr:rowOff>
    </xdr:to>
    <xdr:sp>
      <xdr:nvSpPr>
        <xdr:cNvPr id="8" name="Rectangle 21"/>
        <xdr:cNvSpPr>
          <a:spLocks/>
        </xdr:cNvSpPr>
      </xdr:nvSpPr>
      <xdr:spPr>
        <a:xfrm>
          <a:off x="1076325" y="3133725"/>
          <a:ext cx="561975" cy="65722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6</xdr:col>
      <xdr:colOff>381000</xdr:colOff>
      <xdr:row>9</xdr:row>
      <xdr:rowOff>104775</xdr:rowOff>
    </xdr:to>
    <xdr:sp>
      <xdr:nvSpPr>
        <xdr:cNvPr id="1" name="Straight Connector 24"/>
        <xdr:cNvSpPr>
          <a:spLocks/>
        </xdr:cNvSpPr>
      </xdr:nvSpPr>
      <xdr:spPr>
        <a:xfrm flipH="1">
          <a:off x="666750" y="1800225"/>
          <a:ext cx="1771650" cy="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19050</xdr:rowOff>
    </xdr:from>
    <xdr:to>
      <xdr:col>6</xdr:col>
      <xdr:colOff>276225</xdr:colOff>
      <xdr:row>9</xdr:row>
      <xdr:rowOff>161925</xdr:rowOff>
    </xdr:to>
    <xdr:sp>
      <xdr:nvSpPr>
        <xdr:cNvPr id="2" name="Straight Connector 25"/>
        <xdr:cNvSpPr>
          <a:spLocks/>
        </xdr:cNvSpPr>
      </xdr:nvSpPr>
      <xdr:spPr>
        <a:xfrm flipV="1">
          <a:off x="676275" y="1133475"/>
          <a:ext cx="1657350" cy="72390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5</xdr:row>
      <xdr:rowOff>142875</xdr:rowOff>
    </xdr:from>
    <xdr:to>
      <xdr:col>5</xdr:col>
      <xdr:colOff>209550</xdr:colOff>
      <xdr:row>9</xdr:row>
      <xdr:rowOff>95250</xdr:rowOff>
    </xdr:to>
    <xdr:sp>
      <xdr:nvSpPr>
        <xdr:cNvPr id="3" name="Rectangle 26"/>
        <xdr:cNvSpPr>
          <a:spLocks/>
        </xdr:cNvSpPr>
      </xdr:nvSpPr>
      <xdr:spPr>
        <a:xfrm rot="20400000">
          <a:off x="1047750" y="1066800"/>
          <a:ext cx="742950" cy="72390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104775</xdr:rowOff>
    </xdr:from>
    <xdr:to>
      <xdr:col>5</xdr:col>
      <xdr:colOff>428625</xdr:colOff>
      <xdr:row>6</xdr:row>
      <xdr:rowOff>19050</xdr:rowOff>
    </xdr:to>
    <xdr:sp>
      <xdr:nvSpPr>
        <xdr:cNvPr id="4" name="Straight Arrow Connector 29"/>
        <xdr:cNvSpPr>
          <a:spLocks/>
        </xdr:cNvSpPr>
      </xdr:nvSpPr>
      <xdr:spPr>
        <a:xfrm flipV="1">
          <a:off x="1409700" y="866775"/>
          <a:ext cx="600075" cy="2667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9525</xdr:rowOff>
    </xdr:from>
    <xdr:to>
      <xdr:col>4</xdr:col>
      <xdr:colOff>333375</xdr:colOff>
      <xdr:row>5</xdr:row>
      <xdr:rowOff>180975</xdr:rowOff>
    </xdr:to>
    <xdr:sp>
      <xdr:nvSpPr>
        <xdr:cNvPr id="5" name="Straight Arrow Connector 30"/>
        <xdr:cNvSpPr>
          <a:spLocks/>
        </xdr:cNvSpPr>
      </xdr:nvSpPr>
      <xdr:spPr>
        <a:xfrm flipH="1" flipV="1">
          <a:off x="1247775" y="581025"/>
          <a:ext cx="161925" cy="523875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171450</xdr:rowOff>
    </xdr:from>
    <xdr:to>
      <xdr:col>4</xdr:col>
      <xdr:colOff>409575</xdr:colOff>
      <xdr:row>9</xdr:row>
      <xdr:rowOff>66675</xdr:rowOff>
    </xdr:to>
    <xdr:sp>
      <xdr:nvSpPr>
        <xdr:cNvPr id="6" name="Straight Arrow Connector 38"/>
        <xdr:cNvSpPr>
          <a:spLocks/>
        </xdr:cNvSpPr>
      </xdr:nvSpPr>
      <xdr:spPr>
        <a:xfrm>
          <a:off x="1428750" y="1095375"/>
          <a:ext cx="47625" cy="66675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23</xdr:row>
      <xdr:rowOff>104775</xdr:rowOff>
    </xdr:from>
    <xdr:to>
      <xdr:col>6</xdr:col>
      <xdr:colOff>381000</xdr:colOff>
      <xdr:row>23</xdr:row>
      <xdr:rowOff>104775</xdr:rowOff>
    </xdr:to>
    <xdr:sp>
      <xdr:nvSpPr>
        <xdr:cNvPr id="7" name="Straight Connector 41"/>
        <xdr:cNvSpPr>
          <a:spLocks/>
        </xdr:cNvSpPr>
      </xdr:nvSpPr>
      <xdr:spPr>
        <a:xfrm flipH="1">
          <a:off x="666750" y="4533900"/>
          <a:ext cx="1771650" cy="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20</xdr:row>
      <xdr:rowOff>19050</xdr:rowOff>
    </xdr:from>
    <xdr:to>
      <xdr:col>6</xdr:col>
      <xdr:colOff>276225</xdr:colOff>
      <xdr:row>23</xdr:row>
      <xdr:rowOff>171450</xdr:rowOff>
    </xdr:to>
    <xdr:sp>
      <xdr:nvSpPr>
        <xdr:cNvPr id="8" name="Straight Connector 42"/>
        <xdr:cNvSpPr>
          <a:spLocks/>
        </xdr:cNvSpPr>
      </xdr:nvSpPr>
      <xdr:spPr>
        <a:xfrm flipV="1">
          <a:off x="676275" y="3876675"/>
          <a:ext cx="1657350" cy="72390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19</xdr:row>
      <xdr:rowOff>114300</xdr:rowOff>
    </xdr:from>
    <xdr:to>
      <xdr:col>5</xdr:col>
      <xdr:colOff>209550</xdr:colOff>
      <xdr:row>23</xdr:row>
      <xdr:rowOff>95250</xdr:rowOff>
    </xdr:to>
    <xdr:sp>
      <xdr:nvSpPr>
        <xdr:cNvPr id="9" name="Rectangle 43"/>
        <xdr:cNvSpPr>
          <a:spLocks/>
        </xdr:cNvSpPr>
      </xdr:nvSpPr>
      <xdr:spPr>
        <a:xfrm rot="20400000">
          <a:off x="1047750" y="3771900"/>
          <a:ext cx="742950" cy="752475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18</xdr:row>
      <xdr:rowOff>133350</xdr:rowOff>
    </xdr:from>
    <xdr:to>
      <xdr:col>5</xdr:col>
      <xdr:colOff>428625</xdr:colOff>
      <xdr:row>20</xdr:row>
      <xdr:rowOff>9525</xdr:rowOff>
    </xdr:to>
    <xdr:sp>
      <xdr:nvSpPr>
        <xdr:cNvPr id="10" name="Straight Arrow Connector 45"/>
        <xdr:cNvSpPr>
          <a:spLocks/>
        </xdr:cNvSpPr>
      </xdr:nvSpPr>
      <xdr:spPr>
        <a:xfrm flipV="1">
          <a:off x="1409700" y="3600450"/>
          <a:ext cx="600075" cy="2667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17</xdr:row>
      <xdr:rowOff>9525</xdr:rowOff>
    </xdr:from>
    <xdr:to>
      <xdr:col>4</xdr:col>
      <xdr:colOff>342900</xdr:colOff>
      <xdr:row>19</xdr:row>
      <xdr:rowOff>180975</xdr:rowOff>
    </xdr:to>
    <xdr:sp>
      <xdr:nvSpPr>
        <xdr:cNvPr id="11" name="Straight Arrow Connector 46"/>
        <xdr:cNvSpPr>
          <a:spLocks/>
        </xdr:cNvSpPr>
      </xdr:nvSpPr>
      <xdr:spPr>
        <a:xfrm flipH="1" flipV="1">
          <a:off x="1238250" y="3286125"/>
          <a:ext cx="171450" cy="55245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152400</xdr:rowOff>
    </xdr:from>
    <xdr:to>
      <xdr:col>4</xdr:col>
      <xdr:colOff>361950</xdr:colOff>
      <xdr:row>21</xdr:row>
      <xdr:rowOff>28575</xdr:rowOff>
    </xdr:to>
    <xdr:sp>
      <xdr:nvSpPr>
        <xdr:cNvPr id="12" name="Straight Arrow Connector 48"/>
        <xdr:cNvSpPr>
          <a:spLocks/>
        </xdr:cNvSpPr>
      </xdr:nvSpPr>
      <xdr:spPr>
        <a:xfrm flipH="1">
          <a:off x="828675" y="3810000"/>
          <a:ext cx="600075" cy="266700"/>
        </a:xfrm>
        <a:prstGeom prst="straightConnector1">
          <a:avLst/>
        </a:prstGeom>
        <a:noFill/>
        <a:ln w="19080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19</xdr:row>
      <xdr:rowOff>180975</xdr:rowOff>
    </xdr:from>
    <xdr:to>
      <xdr:col>5</xdr:col>
      <xdr:colOff>38100</xdr:colOff>
      <xdr:row>23</xdr:row>
      <xdr:rowOff>9525</xdr:rowOff>
    </xdr:to>
    <xdr:sp>
      <xdr:nvSpPr>
        <xdr:cNvPr id="13" name="Straight Arrow Connector 49"/>
        <xdr:cNvSpPr>
          <a:spLocks/>
        </xdr:cNvSpPr>
      </xdr:nvSpPr>
      <xdr:spPr>
        <a:xfrm>
          <a:off x="1438275" y="3838575"/>
          <a:ext cx="180975" cy="600075"/>
        </a:xfrm>
        <a:prstGeom prst="straightConnector1">
          <a:avLst/>
        </a:prstGeom>
        <a:noFill/>
        <a:ln w="19080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33</xdr:row>
      <xdr:rowOff>104775</xdr:rowOff>
    </xdr:from>
    <xdr:to>
      <xdr:col>6</xdr:col>
      <xdr:colOff>381000</xdr:colOff>
      <xdr:row>33</xdr:row>
      <xdr:rowOff>104775</xdr:rowOff>
    </xdr:to>
    <xdr:sp>
      <xdr:nvSpPr>
        <xdr:cNvPr id="14" name="Straight Connector 50"/>
        <xdr:cNvSpPr>
          <a:spLocks/>
        </xdr:cNvSpPr>
      </xdr:nvSpPr>
      <xdr:spPr>
        <a:xfrm flipH="1">
          <a:off x="666750" y="6610350"/>
          <a:ext cx="1771650" cy="0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30</xdr:row>
      <xdr:rowOff>19050</xdr:rowOff>
    </xdr:from>
    <xdr:to>
      <xdr:col>6</xdr:col>
      <xdr:colOff>276225</xdr:colOff>
      <xdr:row>33</xdr:row>
      <xdr:rowOff>133350</xdr:rowOff>
    </xdr:to>
    <xdr:sp>
      <xdr:nvSpPr>
        <xdr:cNvPr id="15" name="Straight Connector 51"/>
        <xdr:cNvSpPr>
          <a:spLocks/>
        </xdr:cNvSpPr>
      </xdr:nvSpPr>
      <xdr:spPr>
        <a:xfrm flipV="1">
          <a:off x="676275" y="5924550"/>
          <a:ext cx="1657350" cy="714375"/>
        </a:xfrm>
        <a:prstGeom prst="line">
          <a:avLst/>
        </a:prstGeom>
        <a:noFill/>
        <a:ln w="1908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66675</xdr:rowOff>
    </xdr:from>
    <xdr:to>
      <xdr:col>5</xdr:col>
      <xdr:colOff>209550</xdr:colOff>
      <xdr:row>33</xdr:row>
      <xdr:rowOff>47625</xdr:rowOff>
    </xdr:to>
    <xdr:sp>
      <xdr:nvSpPr>
        <xdr:cNvPr id="16" name="Rectangle 52"/>
        <xdr:cNvSpPr>
          <a:spLocks/>
        </xdr:cNvSpPr>
      </xdr:nvSpPr>
      <xdr:spPr>
        <a:xfrm rot="20400000">
          <a:off x="1047750" y="5772150"/>
          <a:ext cx="742950" cy="781050"/>
        </a:xfrm>
        <a:prstGeom prst="rect">
          <a:avLst/>
        </a:prstGeom>
        <a:solidFill>
          <a:srgbClr val="BFBFBF"/>
        </a:solidFill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161925</xdr:rowOff>
    </xdr:from>
    <xdr:to>
      <xdr:col>4</xdr:col>
      <xdr:colOff>342900</xdr:colOff>
      <xdr:row>31</xdr:row>
      <xdr:rowOff>28575</xdr:rowOff>
    </xdr:to>
    <xdr:sp>
      <xdr:nvSpPr>
        <xdr:cNvPr id="17" name="Straight Arrow Connector 53"/>
        <xdr:cNvSpPr>
          <a:spLocks/>
        </xdr:cNvSpPr>
      </xdr:nvSpPr>
      <xdr:spPr>
        <a:xfrm flipH="1">
          <a:off x="809625" y="5867400"/>
          <a:ext cx="600075" cy="266700"/>
        </a:xfrm>
        <a:prstGeom prst="straightConnector1">
          <a:avLst/>
        </a:prstGeom>
        <a:noFill/>
        <a:ln w="1908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57150</xdr:rowOff>
    </xdr:from>
    <xdr:to>
      <xdr:col>8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52425" y="438150"/>
        <a:ext cx="42386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"/>
  <sheetViews>
    <sheetView tabSelected="1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21.7109375" style="1" customWidth="1"/>
    <col min="3" max="16384" width="9.140625" style="1" customWidth="1"/>
  </cols>
  <sheetData>
    <row r="1" ht="15.75"/>
    <row r="2" spans="2:4" ht="18.75">
      <c r="B2" s="2" t="s">
        <v>0</v>
      </c>
      <c r="C2" s="3">
        <v>9.81</v>
      </c>
      <c r="D2" s="4" t="s">
        <v>1</v>
      </c>
    </row>
  </sheetData>
  <sheetProtection password="CC7A" sheet="1" select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2:H7"/>
  <sheetViews>
    <sheetView workbookViewId="0" topLeftCell="A1">
      <selection activeCell="G6" sqref="G6"/>
    </sheetView>
  </sheetViews>
  <sheetFormatPr defaultColWidth="9.140625" defaultRowHeight="15"/>
  <cols>
    <col min="1" max="1" width="2.140625" style="166" customWidth="1"/>
    <col min="2" max="2" width="18.28125" style="167" customWidth="1"/>
    <col min="3" max="3" width="6.421875" style="166" customWidth="1"/>
    <col min="4" max="5" width="2.140625" style="166" customWidth="1"/>
    <col min="6" max="6" width="5.7109375" style="166" customWidth="1"/>
    <col min="7" max="7" width="4.57421875" style="166" customWidth="1"/>
    <col min="8" max="16384" width="9.140625" style="166" customWidth="1"/>
  </cols>
  <sheetData>
    <row r="1" ht="7.5" customHeight="1"/>
    <row r="2" spans="1:3" ht="15">
      <c r="A2" s="168"/>
      <c r="B2" s="169" t="s">
        <v>103</v>
      </c>
      <c r="C2" s="170">
        <v>0.8</v>
      </c>
    </row>
    <row r="3" spans="1:3" ht="15.75">
      <c r="A3" s="168"/>
      <c r="B3" s="171" t="s">
        <v>104</v>
      </c>
      <c r="C3" s="172">
        <v>39</v>
      </c>
    </row>
    <row r="4" spans="1:3" ht="15.75">
      <c r="A4" s="168"/>
      <c r="B4" s="173">
        <f>IF(C3=ROUND(F7,0),"constant speed",IF(C3&gt;F7,"accelerating","at rest"))</f>
        <v>0</v>
      </c>
      <c r="C4" s="173"/>
    </row>
    <row r="5" ht="7.5" customHeight="1"/>
    <row r="6" spans="6:8" ht="17.25">
      <c r="F6" s="166" t="s">
        <v>105</v>
      </c>
      <c r="G6" s="174">
        <f>C2</f>
        <v>0.8</v>
      </c>
      <c r="H6" s="166" t="s">
        <v>106</v>
      </c>
    </row>
    <row r="7" ht="18.75">
      <c r="F7" s="175">
        <f>DEGREES(ATAN(C2))</f>
        <v>38.659808254090095</v>
      </c>
    </row>
  </sheetData>
  <sheetProtection password="CC7A" sheet="1" selectLockedCells="1"/>
  <mergeCells count="1">
    <mergeCell ref="B4:C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C2:N34"/>
  <sheetViews>
    <sheetView workbookViewId="0" topLeftCell="A1">
      <selection activeCell="F15" sqref="F15"/>
    </sheetView>
  </sheetViews>
  <sheetFormatPr defaultColWidth="9.140625" defaultRowHeight="15"/>
  <cols>
    <col min="1" max="2" width="2.140625" style="176" customWidth="1"/>
    <col min="3" max="3" width="7.140625" style="176" customWidth="1"/>
    <col min="4" max="4" width="4.57421875" style="176" customWidth="1"/>
    <col min="5" max="5" width="9.140625" style="176" customWidth="1"/>
    <col min="6" max="6" width="5.7109375" style="176" customWidth="1"/>
    <col min="7" max="7" width="7.140625" style="176" customWidth="1"/>
    <col min="8" max="9" width="2.140625" style="176" customWidth="1"/>
    <col min="10" max="11" width="9.140625" style="176" customWidth="1"/>
    <col min="12" max="12" width="5.00390625" style="176" customWidth="1"/>
    <col min="13" max="16384" width="9.140625" style="176" customWidth="1"/>
  </cols>
  <sheetData>
    <row r="2" spans="3:14" ht="15">
      <c r="C2" s="177" t="s">
        <v>107</v>
      </c>
      <c r="D2" s="177"/>
      <c r="E2" s="177"/>
      <c r="F2" s="177"/>
      <c r="G2" s="177"/>
      <c r="J2" s="177" t="s">
        <v>108</v>
      </c>
      <c r="K2" s="177"/>
      <c r="L2" s="177"/>
      <c r="M2" s="177"/>
      <c r="N2" s="177"/>
    </row>
    <row r="3" spans="3:14" ht="15">
      <c r="C3" s="178"/>
      <c r="D3" s="178"/>
      <c r="E3" s="178"/>
      <c r="F3" s="178"/>
      <c r="G3" s="178"/>
      <c r="J3" s="179">
        <f>CONCATENATE("Tx = ",F15,"cos",F13)</f>
        <v>0</v>
      </c>
      <c r="K3" s="179"/>
      <c r="L3" s="179"/>
      <c r="M3" s="179"/>
      <c r="N3" s="179"/>
    </row>
    <row r="4" spans="3:7" ht="15">
      <c r="C4" s="180"/>
      <c r="D4" s="181"/>
      <c r="E4" s="181"/>
      <c r="F4" s="181"/>
      <c r="G4" s="180"/>
    </row>
    <row r="5" spans="3:14" ht="12.75" customHeight="1">
      <c r="C5" s="180"/>
      <c r="D5" s="181"/>
      <c r="E5" s="181"/>
      <c r="F5" s="181"/>
      <c r="G5" s="180"/>
      <c r="J5" s="177" t="s">
        <v>109</v>
      </c>
      <c r="K5" s="177"/>
      <c r="L5" s="177"/>
      <c r="M5" s="177"/>
      <c r="N5" s="177"/>
    </row>
    <row r="6" spans="3:14" ht="15">
      <c r="C6" s="182"/>
      <c r="D6" s="181"/>
      <c r="E6" s="181"/>
      <c r="F6" s="181"/>
      <c r="G6" s="183"/>
      <c r="J6" s="179">
        <f>CONCATENATE("Ty = ",F15,"sin",F13)</f>
        <v>0</v>
      </c>
      <c r="K6" s="179"/>
      <c r="L6" s="179"/>
      <c r="M6" s="179"/>
      <c r="N6" s="179"/>
    </row>
    <row r="7" spans="3:7" ht="15">
      <c r="C7" s="181"/>
      <c r="D7" s="181"/>
      <c r="E7" s="181"/>
      <c r="F7" s="181"/>
      <c r="G7" s="181"/>
    </row>
    <row r="8" spans="3:14" ht="15">
      <c r="C8" s="181"/>
      <c r="D8" s="181"/>
      <c r="E8" s="181"/>
      <c r="F8" s="181"/>
      <c r="G8" s="181"/>
      <c r="J8" s="177" t="s">
        <v>110</v>
      </c>
      <c r="K8" s="177"/>
      <c r="L8" s="177"/>
      <c r="M8" s="177"/>
      <c r="N8" s="177"/>
    </row>
    <row r="9" spans="3:14" ht="15">
      <c r="C9" s="181"/>
      <c r="D9" s="181"/>
      <c r="E9" s="181"/>
      <c r="F9" s="181"/>
      <c r="G9" s="181"/>
      <c r="J9" s="184" t="s">
        <v>111</v>
      </c>
      <c r="K9" s="185" t="s">
        <v>112</v>
      </c>
      <c r="L9" s="185"/>
      <c r="M9" s="185"/>
      <c r="N9" s="185"/>
    </row>
    <row r="10" spans="3:14" ht="15.75">
      <c r="C10" s="186" t="s">
        <v>113</v>
      </c>
      <c r="D10" s="186"/>
      <c r="E10" s="187">
        <v>2</v>
      </c>
      <c r="F10" s="188" t="s">
        <v>114</v>
      </c>
      <c r="G10" s="188"/>
      <c r="J10" s="184" t="s">
        <v>115</v>
      </c>
      <c r="K10" s="185">
        <f>IF(F13=0,"Fw = Fn","Fw =  Ty + Fn")</f>
        <v>0</v>
      </c>
      <c r="L10" s="185"/>
      <c r="M10" s="185"/>
      <c r="N10" s="185"/>
    </row>
    <row r="11" spans="3:7" ht="15.75">
      <c r="C11" s="179" t="s">
        <v>116</v>
      </c>
      <c r="D11" s="179"/>
      <c r="E11" s="179"/>
      <c r="F11" s="179"/>
      <c r="G11" s="179"/>
    </row>
    <row r="12" spans="3:14" ht="15" customHeight="1">
      <c r="C12" s="189" t="s">
        <v>117</v>
      </c>
      <c r="D12" s="189"/>
      <c r="E12" s="190">
        <v>0.25</v>
      </c>
      <c r="F12" s="185" t="s">
        <v>118</v>
      </c>
      <c r="G12" s="185"/>
      <c r="J12" s="177" t="s">
        <v>119</v>
      </c>
      <c r="K12" s="177"/>
      <c r="L12" s="177"/>
      <c r="M12" s="177"/>
      <c r="N12" s="177"/>
    </row>
    <row r="13" spans="3:14" ht="15" customHeight="1">
      <c r="C13" s="189" t="s">
        <v>120</v>
      </c>
      <c r="D13" s="189"/>
      <c r="E13" s="189"/>
      <c r="F13" s="191">
        <v>30</v>
      </c>
      <c r="G13" s="191"/>
      <c r="J13" s="179">
        <f>CONCATENATE("Fw = ",E10,"×",10)</f>
        <v>0</v>
      </c>
      <c r="K13" s="179"/>
      <c r="L13" s="179"/>
      <c r="M13" s="179"/>
      <c r="N13" s="179"/>
    </row>
    <row r="14" spans="3:14" ht="15" customHeight="1">
      <c r="C14" s="179" t="s">
        <v>121</v>
      </c>
      <c r="D14" s="179"/>
      <c r="E14" s="179"/>
      <c r="F14" s="179"/>
      <c r="G14" s="179"/>
      <c r="J14" s="192">
        <f>CONCATENATE("Fw = ",E10*10,"N")</f>
        <v>0</v>
      </c>
      <c r="K14" s="192"/>
      <c r="L14" s="192"/>
      <c r="M14" s="192"/>
      <c r="N14" s="192"/>
    </row>
    <row r="15" spans="3:7" ht="15.75">
      <c r="C15" s="189" t="s">
        <v>122</v>
      </c>
      <c r="D15" s="189"/>
      <c r="E15" s="189"/>
      <c r="F15" s="187">
        <v>8</v>
      </c>
      <c r="G15" s="178" t="s">
        <v>123</v>
      </c>
    </row>
    <row r="16" spans="10:14" ht="15">
      <c r="J16" s="177" t="s">
        <v>124</v>
      </c>
      <c r="K16" s="177"/>
      <c r="L16" s="177"/>
      <c r="M16" s="177"/>
      <c r="N16" s="177"/>
    </row>
    <row r="17" spans="3:14" ht="18">
      <c r="C17" s="193" t="s">
        <v>125</v>
      </c>
      <c r="D17" s="193"/>
      <c r="E17" s="193"/>
      <c r="F17" s="193"/>
      <c r="G17" s="193"/>
      <c r="J17" s="179">
        <f>IF(F13=0,"Fw = Fn","Fw = Ty + Fn")</f>
        <v>0</v>
      </c>
      <c r="K17" s="179"/>
      <c r="L17" s="179"/>
      <c r="M17" s="179"/>
      <c r="N17" s="179"/>
    </row>
    <row r="18" spans="3:14" ht="15">
      <c r="C18" s="183"/>
      <c r="D18" s="183"/>
      <c r="E18" s="183"/>
      <c r="F18" s="183"/>
      <c r="G18" s="183"/>
      <c r="J18" s="192">
        <f>IF(F13=0,CONCATENATE(E10*10,"N = Fn"),CONCATENATE(E10*10," = ",ROUND(F15*SIN(RADIANS(F13)),1)," + Fn"))</f>
        <v>0</v>
      </c>
      <c r="K18" s="192"/>
      <c r="L18" s="192"/>
      <c r="M18" s="192"/>
      <c r="N18" s="192"/>
    </row>
    <row r="19" spans="3:14" ht="15">
      <c r="C19" s="183"/>
      <c r="D19" s="183"/>
      <c r="E19" s="183"/>
      <c r="F19" s="183"/>
      <c r="G19" s="183"/>
      <c r="J19" s="192">
        <f>IF(F13=0,"Ohh yes…!",CONCATENATE(E10*10-ROUND(F15*SIN(RADIANS(F13)),1)," = Fn"))</f>
        <v>0</v>
      </c>
      <c r="K19" s="192"/>
      <c r="L19" s="192"/>
      <c r="M19" s="192"/>
      <c r="N19" s="192"/>
    </row>
    <row r="20" spans="3:7" ht="15.75">
      <c r="C20" s="183"/>
      <c r="D20" s="183"/>
      <c r="E20" s="183"/>
      <c r="F20" s="183"/>
      <c r="G20" s="183"/>
    </row>
    <row r="21" spans="3:14" ht="15">
      <c r="C21" s="183"/>
      <c r="D21" s="183"/>
      <c r="E21" s="183"/>
      <c r="F21" s="183"/>
      <c r="G21" s="183"/>
      <c r="J21" s="177" t="s">
        <v>126</v>
      </c>
      <c r="K21" s="177"/>
      <c r="L21" s="177"/>
      <c r="M21" s="177"/>
      <c r="N21" s="177"/>
    </row>
    <row r="22" spans="3:14" ht="15">
      <c r="C22" s="183"/>
      <c r="D22" s="183"/>
      <c r="E22" s="183"/>
      <c r="F22" s="183"/>
      <c r="G22" s="183"/>
      <c r="J22" s="179" t="s">
        <v>127</v>
      </c>
      <c r="K22" s="179"/>
      <c r="L22" s="179"/>
      <c r="M22" s="179"/>
      <c r="N22" s="179"/>
    </row>
    <row r="23" spans="3:14" ht="15">
      <c r="C23" s="183"/>
      <c r="D23" s="183"/>
      <c r="E23" s="183"/>
      <c r="F23" s="183"/>
      <c r="G23" s="183"/>
      <c r="J23" s="179">
        <f>CONCATENATE("Ff = (",E10*10-ROUND(F15*SIN(RADIANS(F13)),1),")(",E12,")")</f>
        <v>0</v>
      </c>
      <c r="K23" s="179"/>
      <c r="L23" s="179"/>
      <c r="M23" s="179"/>
      <c r="N23" s="179"/>
    </row>
    <row r="24" spans="3:14" ht="15" customHeight="1">
      <c r="C24" s="183"/>
      <c r="D24" s="183"/>
      <c r="E24" s="183"/>
      <c r="F24" s="183"/>
      <c r="G24" s="183"/>
      <c r="J24" s="192">
        <f>CONCATENATE("Ff = ",(E10*10-ROUND(F15*SIN(RADIANS(F13)),1))*E12,"N")</f>
        <v>0</v>
      </c>
      <c r="K24" s="192"/>
      <c r="L24" s="192"/>
      <c r="M24" s="192"/>
      <c r="N24" s="192"/>
    </row>
    <row r="25" ht="15" customHeight="1"/>
    <row r="26" spans="3:14" ht="15">
      <c r="C26" s="193" t="s">
        <v>128</v>
      </c>
      <c r="D26" s="193"/>
      <c r="E26" s="193"/>
      <c r="F26" s="193"/>
      <c r="G26" s="193"/>
      <c r="J26" s="177" t="s">
        <v>129</v>
      </c>
      <c r="K26" s="177"/>
      <c r="L26" s="177"/>
      <c r="M26" s="177"/>
      <c r="N26" s="177"/>
    </row>
    <row r="27" spans="3:14" ht="15">
      <c r="C27" s="183"/>
      <c r="D27" s="183"/>
      <c r="E27" s="183"/>
      <c r="F27" s="183"/>
      <c r="G27" s="183"/>
      <c r="J27" s="179" t="s">
        <v>130</v>
      </c>
      <c r="K27" s="179"/>
      <c r="L27" s="179"/>
      <c r="M27" s="179"/>
      <c r="N27" s="179"/>
    </row>
    <row r="28" spans="3:14" ht="15">
      <c r="C28" s="183"/>
      <c r="D28" s="183"/>
      <c r="E28" s="183"/>
      <c r="F28" s="183"/>
      <c r="G28" s="183"/>
      <c r="J28" s="179">
        <f>CONCATENATE("Fnet = ",IF(F13=0,F15,ROUND(F15*COS(RADIANS(30)),0))," - ",(E10*10-ROUND(F15*SIN(RADIANS(F13)),1))*E12)</f>
        <v>0</v>
      </c>
      <c r="K28" s="179"/>
      <c r="L28" s="179"/>
      <c r="M28" s="179"/>
      <c r="N28" s="179"/>
    </row>
    <row r="29" spans="3:14" ht="15">
      <c r="C29" s="183"/>
      <c r="D29" s="183"/>
      <c r="E29" s="183"/>
      <c r="F29" s="183"/>
      <c r="G29" s="183"/>
      <c r="J29" s="192">
        <f>CONCATENATE("Fnet = ",IF(F13=0,F15,ROUND(F15*COS(RADIANS(30)),0))-((E10*10-ROUND(F15*SIN(RADIANS(F13)),1))*E12))</f>
        <v>0</v>
      </c>
      <c r="K29" s="192"/>
      <c r="L29" s="192"/>
      <c r="M29" s="192"/>
      <c r="N29" s="192"/>
    </row>
    <row r="30" spans="3:7" ht="15.75">
      <c r="C30" s="183"/>
      <c r="D30" s="183"/>
      <c r="E30" s="183"/>
      <c r="F30" s="183"/>
      <c r="G30" s="183"/>
    </row>
    <row r="31" spans="3:14" ht="15">
      <c r="C31" s="183"/>
      <c r="D31" s="183"/>
      <c r="E31" s="183"/>
      <c r="F31" s="183"/>
      <c r="G31" s="183"/>
      <c r="J31" s="177" t="s">
        <v>131</v>
      </c>
      <c r="K31" s="177"/>
      <c r="L31" s="177"/>
      <c r="M31" s="177"/>
      <c r="N31" s="177"/>
    </row>
    <row r="32" spans="3:14" ht="15">
      <c r="C32" s="183"/>
      <c r="D32" s="183"/>
      <c r="E32" s="183"/>
      <c r="F32" s="183"/>
      <c r="G32" s="183"/>
      <c r="J32" s="179" t="s">
        <v>132</v>
      </c>
      <c r="K32" s="179"/>
      <c r="L32" s="179"/>
      <c r="M32" s="179"/>
      <c r="N32" s="179"/>
    </row>
    <row r="33" spans="3:14" ht="15" customHeight="1">
      <c r="C33" s="183"/>
      <c r="D33" s="183"/>
      <c r="E33" s="183"/>
      <c r="F33" s="183"/>
      <c r="G33" s="183"/>
      <c r="J33" s="179">
        <f>CONCATENATE(IF(F13=0,F15,ROUND(F15*COS(RADIANS(30)),0))-((E10*10-ROUND(F15*SIN(RADIANS(F13)),1))*E12)," = (",E10,")a")</f>
        <v>0</v>
      </c>
      <c r="K33" s="179"/>
      <c r="L33" s="179"/>
      <c r="M33" s="179"/>
      <c r="N33" s="179"/>
    </row>
    <row r="34" spans="10:14" ht="15" customHeight="1">
      <c r="J34" s="192">
        <f>CONCATENATE((IF(F13=0,F15,ROUND(F15*COS(RADIANS(30)),0))-((E10*10-ROUND(F15*SIN(RADIANS(F13)),1))*E12))/E10," = a")</f>
        <v>0</v>
      </c>
      <c r="K34" s="192"/>
      <c r="L34" s="192"/>
      <c r="M34" s="192"/>
      <c r="N34" s="192"/>
    </row>
  </sheetData>
  <sheetProtection password="CC7A" sheet="1" selectLockedCells="1"/>
  <mergeCells count="38">
    <mergeCell ref="C2:G2"/>
    <mergeCell ref="J2:N2"/>
    <mergeCell ref="J3:N3"/>
    <mergeCell ref="C4:C5"/>
    <mergeCell ref="G4:G5"/>
    <mergeCell ref="J5:N5"/>
    <mergeCell ref="J6:N6"/>
    <mergeCell ref="J8:N8"/>
    <mergeCell ref="K9:N9"/>
    <mergeCell ref="K10:N10"/>
    <mergeCell ref="C11:G11"/>
    <mergeCell ref="C12:D12"/>
    <mergeCell ref="F12:G12"/>
    <mergeCell ref="J12:N12"/>
    <mergeCell ref="C13:E13"/>
    <mergeCell ref="F13:G13"/>
    <mergeCell ref="J13:N13"/>
    <mergeCell ref="C14:G14"/>
    <mergeCell ref="J14:N14"/>
    <mergeCell ref="C15:E15"/>
    <mergeCell ref="J16:N16"/>
    <mergeCell ref="C17:G17"/>
    <mergeCell ref="J17:N17"/>
    <mergeCell ref="J18:N18"/>
    <mergeCell ref="J19:N19"/>
    <mergeCell ref="J21:N21"/>
    <mergeCell ref="J22:N22"/>
    <mergeCell ref="J23:N23"/>
    <mergeCell ref="J24:N24"/>
    <mergeCell ref="C26:G26"/>
    <mergeCell ref="J26:N26"/>
    <mergeCell ref="J27:N27"/>
    <mergeCell ref="J28:N28"/>
    <mergeCell ref="J29:N29"/>
    <mergeCell ref="J31:N31"/>
    <mergeCell ref="J32:N32"/>
    <mergeCell ref="J33:N33"/>
    <mergeCell ref="J34:N34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C2:N22"/>
  <sheetViews>
    <sheetView workbookViewId="0" topLeftCell="A1">
      <selection activeCell="F10" sqref="F10"/>
    </sheetView>
  </sheetViews>
  <sheetFormatPr defaultColWidth="9.140625" defaultRowHeight="15"/>
  <cols>
    <col min="1" max="2" width="2.140625" style="194" customWidth="1"/>
    <col min="3" max="3" width="7.140625" style="194" customWidth="1"/>
    <col min="4" max="4" width="4.57421875" style="194" customWidth="1"/>
    <col min="5" max="5" width="7.7109375" style="194" customWidth="1"/>
    <col min="6" max="7" width="7.140625" style="194" customWidth="1"/>
    <col min="8" max="9" width="2.140625" style="194" customWidth="1"/>
    <col min="10" max="11" width="9.140625" style="194" customWidth="1"/>
    <col min="12" max="12" width="5.00390625" style="194" customWidth="1"/>
    <col min="13" max="16384" width="9.140625" style="194" customWidth="1"/>
  </cols>
  <sheetData>
    <row r="2" spans="3:14" ht="15">
      <c r="C2" s="195" t="s">
        <v>133</v>
      </c>
      <c r="D2" s="195"/>
      <c r="E2" s="195"/>
      <c r="F2" s="195"/>
      <c r="G2" s="195"/>
      <c r="J2" s="195" t="s">
        <v>110</v>
      </c>
      <c r="K2" s="195"/>
      <c r="L2" s="195"/>
      <c r="M2" s="195"/>
      <c r="N2" s="195"/>
    </row>
    <row r="3" spans="3:14" ht="18">
      <c r="C3" s="196"/>
      <c r="D3" s="196"/>
      <c r="E3" s="196"/>
      <c r="F3" s="196"/>
      <c r="G3" s="196"/>
      <c r="J3" s="197" t="s">
        <v>111</v>
      </c>
      <c r="K3" s="198" t="s">
        <v>134</v>
      </c>
      <c r="L3" s="198"/>
      <c r="M3" s="198"/>
      <c r="N3" s="198"/>
    </row>
    <row r="4" spans="3:14" ht="18">
      <c r="C4" s="199"/>
      <c r="D4" s="200"/>
      <c r="E4" s="200"/>
      <c r="F4" s="200"/>
      <c r="G4" s="199"/>
      <c r="J4" s="197" t="s">
        <v>115</v>
      </c>
      <c r="K4" s="198" t="s">
        <v>135</v>
      </c>
      <c r="L4" s="198"/>
      <c r="M4" s="198"/>
      <c r="N4" s="198"/>
    </row>
    <row r="5" spans="3:7" ht="12.75" customHeight="1">
      <c r="C5" s="199"/>
      <c r="D5" s="200"/>
      <c r="E5" s="200"/>
      <c r="F5" s="200"/>
      <c r="G5" s="199"/>
    </row>
    <row r="6" spans="3:14" ht="15">
      <c r="C6" s="201"/>
      <c r="D6" s="200"/>
      <c r="E6" s="200"/>
      <c r="F6" s="200"/>
      <c r="G6" s="202"/>
      <c r="J6" s="203" t="s">
        <v>136</v>
      </c>
      <c r="K6" s="203"/>
      <c r="L6" s="203"/>
      <c r="M6" s="203"/>
      <c r="N6" s="203"/>
    </row>
    <row r="7" spans="3:14" ht="15">
      <c r="C7" s="200"/>
      <c r="D7" s="200"/>
      <c r="E7" s="200"/>
      <c r="F7" s="200"/>
      <c r="G7" s="200"/>
      <c r="J7" s="204" t="s">
        <v>137</v>
      </c>
      <c r="K7" s="204"/>
      <c r="L7" s="204"/>
      <c r="M7" s="204"/>
      <c r="N7" s="204"/>
    </row>
    <row r="8" spans="3:14" ht="15">
      <c r="C8" s="200"/>
      <c r="D8" s="200"/>
      <c r="E8" s="200"/>
      <c r="F8" s="200"/>
      <c r="G8" s="200"/>
      <c r="J8" s="204">
        <f>CONCATENATE("Fw = (",F10,")(","10",")")</f>
        <v>0</v>
      </c>
      <c r="K8" s="204"/>
      <c r="L8" s="204"/>
      <c r="M8" s="204"/>
      <c r="N8" s="204"/>
    </row>
    <row r="9" spans="3:14" ht="15">
      <c r="C9" s="200"/>
      <c r="D9" s="200"/>
      <c r="E9" s="200"/>
      <c r="F9" s="200"/>
      <c r="G9" s="200"/>
      <c r="J9" s="205">
        <f>CONCATENATE("Fw = ",F10*10,"N")</f>
        <v>0</v>
      </c>
      <c r="K9" s="205"/>
      <c r="L9" s="205"/>
      <c r="M9" s="205"/>
      <c r="N9" s="205"/>
    </row>
    <row r="10" spans="3:7" ht="15.75">
      <c r="C10" s="206" t="s">
        <v>138</v>
      </c>
      <c r="D10" s="206"/>
      <c r="E10" s="206"/>
      <c r="F10" s="207">
        <v>2</v>
      </c>
      <c r="G10" s="208" t="s">
        <v>95</v>
      </c>
    </row>
    <row r="11" spans="3:14" ht="15">
      <c r="C11" s="204" t="s">
        <v>139</v>
      </c>
      <c r="D11" s="204"/>
      <c r="E11" s="204"/>
      <c r="F11" s="204"/>
      <c r="G11" s="204"/>
      <c r="J11" s="195" t="s">
        <v>140</v>
      </c>
      <c r="K11" s="195"/>
      <c r="L11" s="195"/>
      <c r="M11" s="195"/>
      <c r="N11" s="195"/>
    </row>
    <row r="12" spans="3:14" ht="15" customHeight="1">
      <c r="C12" s="209"/>
      <c r="D12" s="209"/>
      <c r="E12" s="210" t="s">
        <v>117</v>
      </c>
      <c r="F12" s="207">
        <v>0.5</v>
      </c>
      <c r="G12" s="211"/>
      <c r="J12" s="205" t="s">
        <v>141</v>
      </c>
      <c r="K12" s="205"/>
      <c r="L12" s="205"/>
      <c r="M12" s="205"/>
      <c r="N12" s="205"/>
    </row>
    <row r="13" spans="10:14" ht="15">
      <c r="J13" s="204">
        <f>CONCATENATE("Ff = ",F10*10)</f>
        <v>0</v>
      </c>
      <c r="K13" s="204"/>
      <c r="L13" s="204"/>
      <c r="M13" s="204"/>
      <c r="N13" s="204"/>
    </row>
    <row r="14" spans="3:14" ht="18">
      <c r="C14" s="212" t="s">
        <v>142</v>
      </c>
      <c r="D14" s="212"/>
      <c r="E14" s="212"/>
      <c r="F14" s="212"/>
      <c r="G14" s="212"/>
      <c r="J14" s="205" t="s">
        <v>143</v>
      </c>
      <c r="K14" s="205"/>
      <c r="L14" s="205"/>
      <c r="M14" s="205"/>
      <c r="N14" s="205"/>
    </row>
    <row r="15" spans="3:14" ht="15">
      <c r="C15" s="213"/>
      <c r="D15" s="213"/>
      <c r="E15" s="213"/>
      <c r="F15" s="213"/>
      <c r="G15" s="213"/>
      <c r="J15" s="204">
        <f>CONCATENATE("Fn = ",F10*10," / ",F12)</f>
        <v>0</v>
      </c>
      <c r="K15" s="204"/>
      <c r="L15" s="204"/>
      <c r="M15" s="204"/>
      <c r="N15" s="204"/>
    </row>
    <row r="16" spans="3:14" ht="15">
      <c r="C16" s="213"/>
      <c r="D16" s="213"/>
      <c r="E16" s="213"/>
      <c r="F16" s="213"/>
      <c r="G16" s="213"/>
      <c r="J16" s="204">
        <f>CONCATENATE("Fn = ",F10*10/F12)</f>
        <v>0</v>
      </c>
      <c r="K16" s="204"/>
      <c r="L16" s="204"/>
      <c r="M16" s="204"/>
      <c r="N16" s="204"/>
    </row>
    <row r="17" spans="3:14" ht="18">
      <c r="C17" s="213"/>
      <c r="D17" s="213"/>
      <c r="E17" s="213"/>
      <c r="F17" s="213"/>
      <c r="G17" s="213"/>
      <c r="J17" s="205" t="s">
        <v>134</v>
      </c>
      <c r="K17" s="205"/>
      <c r="L17" s="205"/>
      <c r="M17" s="205"/>
      <c r="N17" s="205"/>
    </row>
    <row r="18" spans="3:14" ht="15">
      <c r="C18" s="213"/>
      <c r="D18" s="213"/>
      <c r="E18" s="213"/>
      <c r="F18" s="213"/>
      <c r="G18" s="213"/>
      <c r="J18" s="205">
        <f>CONCATENATE("Fa = ",F10*10/F12,"N")</f>
        <v>0</v>
      </c>
      <c r="K18" s="205"/>
      <c r="L18" s="205"/>
      <c r="M18" s="205"/>
      <c r="N18" s="205"/>
    </row>
    <row r="19" spans="3:14" ht="15">
      <c r="C19" s="213"/>
      <c r="D19" s="213"/>
      <c r="E19" s="213"/>
      <c r="F19" s="213"/>
      <c r="G19" s="213"/>
      <c r="J19" s="214"/>
      <c r="K19" s="214"/>
      <c r="L19" s="214"/>
      <c r="M19" s="214"/>
      <c r="N19" s="214"/>
    </row>
    <row r="20" spans="3:14" ht="15">
      <c r="C20" s="213"/>
      <c r="D20" s="213"/>
      <c r="E20" s="213"/>
      <c r="F20" s="213"/>
      <c r="G20" s="213"/>
      <c r="J20" s="214"/>
      <c r="K20" s="214"/>
      <c r="L20" s="214"/>
      <c r="M20" s="214"/>
      <c r="N20" s="214"/>
    </row>
    <row r="21" spans="3:14" ht="15" customHeight="1">
      <c r="C21" s="213"/>
      <c r="D21" s="213"/>
      <c r="E21" s="213"/>
      <c r="F21" s="213"/>
      <c r="G21" s="213"/>
      <c r="J21" s="214"/>
      <c r="K21" s="214"/>
      <c r="L21" s="214"/>
      <c r="M21" s="214"/>
      <c r="N21" s="214"/>
    </row>
    <row r="22" spans="10:14" ht="15" customHeight="1">
      <c r="J22" s="214"/>
      <c r="K22" s="214"/>
      <c r="L22" s="214"/>
      <c r="M22" s="214"/>
      <c r="N22" s="214"/>
    </row>
  </sheetData>
  <sheetProtection password="CC7A" sheet="1" selectLockedCells="1"/>
  <mergeCells count="20">
    <mergeCell ref="C2:G2"/>
    <mergeCell ref="J2:N2"/>
    <mergeCell ref="K3:N3"/>
    <mergeCell ref="C4:C5"/>
    <mergeCell ref="G4:G5"/>
    <mergeCell ref="K4:N4"/>
    <mergeCell ref="J7:N7"/>
    <mergeCell ref="J8:N8"/>
    <mergeCell ref="J9:N9"/>
    <mergeCell ref="C10:E10"/>
    <mergeCell ref="C11:G11"/>
    <mergeCell ref="J11:N11"/>
    <mergeCell ref="J12:N12"/>
    <mergeCell ref="J13:N13"/>
    <mergeCell ref="C14:G14"/>
    <mergeCell ref="J14:N14"/>
    <mergeCell ref="J15:N15"/>
    <mergeCell ref="J16:N16"/>
    <mergeCell ref="J17:N17"/>
    <mergeCell ref="J18:N18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C2:N42"/>
  <sheetViews>
    <sheetView workbookViewId="0" topLeftCell="A1">
      <selection activeCell="C15" sqref="C15"/>
    </sheetView>
  </sheetViews>
  <sheetFormatPr defaultColWidth="9.140625" defaultRowHeight="15"/>
  <cols>
    <col min="1" max="2" width="2.140625" style="215" customWidth="1"/>
    <col min="3" max="3" width="7.140625" style="215" customWidth="1"/>
    <col min="4" max="4" width="4.57421875" style="215" customWidth="1"/>
    <col min="5" max="5" width="7.7109375" style="215" customWidth="1"/>
    <col min="6" max="7" width="7.140625" style="215" customWidth="1"/>
    <col min="8" max="9" width="2.140625" style="215" customWidth="1"/>
    <col min="10" max="11" width="9.140625" style="215" customWidth="1"/>
    <col min="12" max="12" width="5.00390625" style="215" customWidth="1"/>
    <col min="13" max="16384" width="9.140625" style="215" customWidth="1"/>
  </cols>
  <sheetData>
    <row r="2" spans="3:14" ht="15">
      <c r="C2" s="216" t="s">
        <v>144</v>
      </c>
      <c r="D2" s="216"/>
      <c r="E2" s="216"/>
      <c r="F2" s="216"/>
      <c r="G2" s="216"/>
      <c r="J2" s="216" t="s">
        <v>145</v>
      </c>
      <c r="K2" s="216"/>
      <c r="L2" s="216"/>
      <c r="M2" s="216"/>
      <c r="N2" s="216"/>
    </row>
    <row r="3" spans="3:14" ht="15">
      <c r="C3" s="217"/>
      <c r="D3" s="217"/>
      <c r="E3" s="217"/>
      <c r="F3" s="217"/>
      <c r="G3" s="217"/>
      <c r="J3" s="218">
        <f>CONCATENATE("tan^-1(",D13,")")</f>
        <v>0</v>
      </c>
      <c r="K3" s="218"/>
      <c r="L3" s="218"/>
      <c r="M3" s="218"/>
      <c r="N3" s="218"/>
    </row>
    <row r="4" spans="3:14" ht="15">
      <c r="C4" s="219"/>
      <c r="D4" s="220"/>
      <c r="E4" s="220"/>
      <c r="F4" s="220"/>
      <c r="G4" s="219"/>
      <c r="J4" s="221">
        <f>CONCATENATE(ROUND(DEGREES(TANH(D13)),0)," degrees")</f>
        <v>0</v>
      </c>
      <c r="K4" s="221"/>
      <c r="L4" s="221"/>
      <c r="M4" s="221"/>
      <c r="N4" s="221"/>
    </row>
    <row r="5" spans="3:7" ht="12.75" customHeight="1">
      <c r="C5" s="219"/>
      <c r="D5" s="220"/>
      <c r="E5" s="220"/>
      <c r="F5" s="220"/>
      <c r="G5" s="219"/>
    </row>
    <row r="6" spans="3:14" ht="15">
      <c r="C6" s="222"/>
      <c r="D6" s="220"/>
      <c r="E6" s="220"/>
      <c r="F6" s="220"/>
      <c r="G6" s="223"/>
      <c r="J6" s="216" t="s">
        <v>146</v>
      </c>
      <c r="K6" s="216"/>
      <c r="L6" s="216"/>
      <c r="M6" s="216"/>
      <c r="N6" s="216"/>
    </row>
    <row r="7" spans="3:14" ht="15">
      <c r="C7" s="220"/>
      <c r="D7" s="220"/>
      <c r="E7" s="220"/>
      <c r="F7" s="220"/>
      <c r="G7" s="220"/>
      <c r="J7" s="224">
        <f>IF(F14&lt;ROUND(DEGREES(TANH(D13)),0),"constant speed / at rest","accelerating")</f>
        <v>0</v>
      </c>
      <c r="K7" s="224"/>
      <c r="L7" s="224"/>
      <c r="M7" s="224"/>
      <c r="N7" s="224"/>
    </row>
    <row r="8" spans="3:7" ht="15.75">
      <c r="C8" s="220"/>
      <c r="D8" s="220"/>
      <c r="E8" s="220"/>
      <c r="F8" s="220"/>
      <c r="G8" s="220"/>
    </row>
    <row r="9" spans="3:14" ht="15">
      <c r="C9" s="220"/>
      <c r="D9" s="220"/>
      <c r="E9" s="220"/>
      <c r="F9" s="220"/>
      <c r="G9" s="220"/>
      <c r="J9" s="216" t="s">
        <v>147</v>
      </c>
      <c r="K9" s="216"/>
      <c r="L9" s="216"/>
      <c r="M9" s="216"/>
      <c r="N9" s="216"/>
    </row>
    <row r="10" spans="3:14" ht="15">
      <c r="C10" s="220"/>
      <c r="D10" s="220"/>
      <c r="E10" s="220"/>
      <c r="F10" s="220"/>
      <c r="G10" s="220"/>
      <c r="J10" s="225" t="s">
        <v>148</v>
      </c>
      <c r="K10" s="225"/>
      <c r="L10" s="226" t="s">
        <v>149</v>
      </c>
      <c r="M10" s="226"/>
      <c r="N10" s="226"/>
    </row>
    <row r="11" spans="3:14" ht="15.75">
      <c r="C11" s="227" t="s">
        <v>79</v>
      </c>
      <c r="D11" s="228">
        <v>2</v>
      </c>
      <c r="E11" s="228"/>
      <c r="F11" s="229" t="s">
        <v>95</v>
      </c>
      <c r="G11" s="230" t="s">
        <v>150</v>
      </c>
      <c r="J11" s="225" t="s">
        <v>151</v>
      </c>
      <c r="K11" s="225"/>
      <c r="L11" s="226" t="s">
        <v>152</v>
      </c>
      <c r="M11" s="226"/>
      <c r="N11" s="226"/>
    </row>
    <row r="12" spans="3:7" ht="15.75">
      <c r="C12" s="218" t="s">
        <v>153</v>
      </c>
      <c r="D12" s="218"/>
      <c r="E12" s="218"/>
      <c r="F12" s="218"/>
      <c r="G12" s="218"/>
    </row>
    <row r="13" spans="3:14" ht="15" customHeight="1">
      <c r="C13" s="231" t="s">
        <v>117</v>
      </c>
      <c r="D13" s="228">
        <v>0.25</v>
      </c>
      <c r="E13" s="228"/>
      <c r="F13" s="226" t="s">
        <v>154</v>
      </c>
      <c r="G13" s="226"/>
      <c r="J13" s="216" t="s">
        <v>119</v>
      </c>
      <c r="K13" s="216"/>
      <c r="L13" s="216"/>
      <c r="M13" s="216"/>
      <c r="N13" s="216"/>
    </row>
    <row r="14" spans="3:14" ht="15.75">
      <c r="C14" s="232" t="s">
        <v>155</v>
      </c>
      <c r="D14" s="232"/>
      <c r="E14" s="232"/>
      <c r="F14" s="233">
        <v>30</v>
      </c>
      <c r="G14" s="230" t="s">
        <v>156</v>
      </c>
      <c r="J14" s="218">
        <f>CONCATENATE("Fw = (",D11,")(",10,")")</f>
        <v>0</v>
      </c>
      <c r="K14" s="218"/>
      <c r="L14" s="218"/>
      <c r="M14" s="218"/>
      <c r="N14" s="218"/>
    </row>
    <row r="15" spans="3:14" ht="15">
      <c r="C15" s="234"/>
      <c r="D15" s="234"/>
      <c r="E15" s="234"/>
      <c r="F15" s="234"/>
      <c r="G15" s="234"/>
      <c r="J15" s="224">
        <f>CONCATENATE("Fw = ",D11*10,"N")</f>
        <v>0</v>
      </c>
      <c r="K15" s="224"/>
      <c r="L15" s="224"/>
      <c r="M15" s="224"/>
      <c r="N15" s="224"/>
    </row>
    <row r="16" spans="3:7" ht="17.25">
      <c r="C16" s="225" t="s">
        <v>157</v>
      </c>
      <c r="D16" s="225"/>
      <c r="E16" s="225"/>
      <c r="F16" s="225"/>
      <c r="G16" s="225"/>
    </row>
    <row r="17" spans="3:14" ht="15">
      <c r="C17" s="217"/>
      <c r="D17" s="217"/>
      <c r="E17" s="217"/>
      <c r="F17" s="217"/>
      <c r="G17" s="217"/>
      <c r="J17" s="216" t="s">
        <v>158</v>
      </c>
      <c r="K17" s="216"/>
      <c r="L17" s="216"/>
      <c r="M17" s="216"/>
      <c r="N17" s="216"/>
    </row>
    <row r="18" spans="3:14" ht="15">
      <c r="C18" s="219"/>
      <c r="D18" s="220"/>
      <c r="E18" s="220"/>
      <c r="F18" s="220"/>
      <c r="G18" s="219"/>
      <c r="J18" s="218">
        <f>CONCATENATE("Fw// = ",D11*10,"sin",F14)</f>
        <v>0</v>
      </c>
      <c r="K18" s="218"/>
      <c r="L18" s="218"/>
      <c r="M18" s="218"/>
      <c r="N18" s="218"/>
    </row>
    <row r="19" spans="3:14" ht="15">
      <c r="C19" s="219"/>
      <c r="D19" s="220"/>
      <c r="E19" s="220"/>
      <c r="F19" s="220"/>
      <c r="G19" s="219"/>
      <c r="J19" s="224">
        <f>CONCATENATE("Fw// = ",ROUND(D11*10*SIN(RADIANS(F14)),1),"N")</f>
        <v>0</v>
      </c>
      <c r="K19" s="224"/>
      <c r="L19" s="224"/>
      <c r="M19" s="224"/>
      <c r="N19" s="224"/>
    </row>
    <row r="20" spans="3:7" ht="15.75">
      <c r="C20" s="222"/>
      <c r="D20" s="220"/>
      <c r="E20" s="220"/>
      <c r="F20" s="220"/>
      <c r="G20" s="223"/>
    </row>
    <row r="21" spans="3:14" ht="15">
      <c r="C21" s="220"/>
      <c r="D21" s="220"/>
      <c r="E21" s="220"/>
      <c r="F21" s="220"/>
      <c r="G21" s="220"/>
      <c r="J21" s="216" t="s">
        <v>159</v>
      </c>
      <c r="K21" s="216"/>
      <c r="L21" s="216"/>
      <c r="M21" s="216"/>
      <c r="N21" s="216"/>
    </row>
    <row r="22" spans="3:14" ht="15" customHeight="1">
      <c r="C22" s="220"/>
      <c r="D22" s="220"/>
      <c r="E22" s="220"/>
      <c r="F22" s="220"/>
      <c r="G22" s="220"/>
      <c r="J22" s="218">
        <f>CONCATENATE("Fw_|_ = ",D11*10,"cos",F14)</f>
        <v>0</v>
      </c>
      <c r="K22" s="218"/>
      <c r="L22" s="218"/>
      <c r="M22" s="218"/>
      <c r="N22" s="218"/>
    </row>
    <row r="23" spans="3:14" ht="15" customHeight="1">
      <c r="C23" s="220"/>
      <c r="D23" s="220"/>
      <c r="E23" s="220"/>
      <c r="F23" s="220"/>
      <c r="G23" s="220"/>
      <c r="J23" s="224">
        <f>CONCATENATE("Fw_|_ = ",ROUND(D11*10*COS(RADIANS(F14)),1),"N")</f>
        <v>0</v>
      </c>
      <c r="K23" s="224"/>
      <c r="L23" s="224"/>
      <c r="M23" s="224"/>
      <c r="N23" s="224"/>
    </row>
    <row r="24" spans="3:7" ht="15.75">
      <c r="C24" s="220"/>
      <c r="D24" s="220"/>
      <c r="E24" s="220"/>
      <c r="F24" s="220"/>
      <c r="G24" s="220"/>
    </row>
    <row r="25" spans="10:14" ht="18">
      <c r="J25" s="216" t="s">
        <v>160</v>
      </c>
      <c r="K25" s="216"/>
      <c r="L25" s="216"/>
      <c r="M25" s="216"/>
      <c r="N25" s="216"/>
    </row>
    <row r="26" spans="3:14" ht="18">
      <c r="C26" s="216" t="s">
        <v>161</v>
      </c>
      <c r="D26" s="216"/>
      <c r="E26" s="216"/>
      <c r="F26" s="216"/>
      <c r="G26" s="216"/>
      <c r="J26" s="218" t="s">
        <v>162</v>
      </c>
      <c r="K26" s="218"/>
      <c r="L26" s="218"/>
      <c r="M26" s="218"/>
      <c r="N26" s="218"/>
    </row>
    <row r="27" spans="3:14" ht="15.75">
      <c r="C27" s="217"/>
      <c r="D27" s="217"/>
      <c r="E27" s="217"/>
      <c r="F27" s="217"/>
      <c r="G27" s="217"/>
      <c r="J27" s="224">
        <f>CONCATENATE("Fn = ",ROUND(D11*10*COS(RADIANS(F14)),1),"N")</f>
        <v>0</v>
      </c>
      <c r="K27" s="224"/>
      <c r="L27" s="224"/>
      <c r="M27" s="224"/>
      <c r="N27" s="224"/>
    </row>
    <row r="28" spans="3:7" ht="15.75">
      <c r="C28" s="219"/>
      <c r="D28" s="220"/>
      <c r="E28" s="220"/>
      <c r="F28" s="220"/>
      <c r="G28" s="219"/>
    </row>
    <row r="29" spans="3:14" ht="17.25">
      <c r="C29" s="219"/>
      <c r="D29" s="220"/>
      <c r="E29" s="220"/>
      <c r="F29" s="220"/>
      <c r="G29" s="219"/>
      <c r="J29" s="216" t="s">
        <v>163</v>
      </c>
      <c r="K29" s="216"/>
      <c r="L29" s="216"/>
      <c r="M29" s="216"/>
      <c r="N29" s="216"/>
    </row>
    <row r="30" spans="3:14" ht="15.75">
      <c r="C30" s="222"/>
      <c r="D30" s="220"/>
      <c r="E30" s="220"/>
      <c r="F30" s="220"/>
      <c r="G30" s="223"/>
      <c r="J30" s="218" t="s">
        <v>127</v>
      </c>
      <c r="K30" s="218"/>
      <c r="L30" s="218"/>
      <c r="M30" s="218"/>
      <c r="N30" s="218"/>
    </row>
    <row r="31" spans="3:14" ht="15.75">
      <c r="C31" s="220"/>
      <c r="D31" s="220"/>
      <c r="E31" s="220"/>
      <c r="F31" s="220"/>
      <c r="G31" s="220"/>
      <c r="J31" s="218">
        <f>CONCATENATE("Ff = (",ROUND(D11*10*COS(RADIANS(F14)),1),")(",D13,")")</f>
        <v>0</v>
      </c>
      <c r="K31" s="218"/>
      <c r="L31" s="218"/>
      <c r="M31" s="218"/>
      <c r="N31" s="218"/>
    </row>
    <row r="32" spans="3:14" ht="15.75">
      <c r="C32" s="220"/>
      <c r="D32" s="220"/>
      <c r="E32" s="220"/>
      <c r="F32" s="220"/>
      <c r="G32" s="220"/>
      <c r="J32" s="224">
        <f>CONCATENATE("Ff = ",ROUND(D11*10*COS(RADIANS(F14))*D13,2))</f>
        <v>0</v>
      </c>
      <c r="K32" s="224"/>
      <c r="L32" s="224"/>
      <c r="M32" s="224"/>
      <c r="N32" s="224"/>
    </row>
    <row r="33" spans="3:7" ht="15.75">
      <c r="C33" s="220"/>
      <c r="D33" s="220"/>
      <c r="E33" s="220"/>
      <c r="F33" s="220"/>
      <c r="G33" s="220"/>
    </row>
    <row r="34" spans="3:14" ht="17.25">
      <c r="C34" s="220"/>
      <c r="D34" s="220"/>
      <c r="E34" s="220"/>
      <c r="F34" s="220"/>
      <c r="G34" s="220"/>
      <c r="J34" s="216" t="s">
        <v>164</v>
      </c>
      <c r="K34" s="216"/>
      <c r="L34" s="216"/>
      <c r="M34" s="216"/>
      <c r="N34" s="216"/>
    </row>
    <row r="35" spans="10:14" ht="15">
      <c r="J35" s="218" t="s">
        <v>165</v>
      </c>
      <c r="K35" s="218"/>
      <c r="L35" s="218"/>
      <c r="M35" s="218"/>
      <c r="N35" s="218"/>
    </row>
    <row r="36" spans="10:14" ht="15">
      <c r="J36" s="218">
        <f>CONCATENATE("Fnet = ",ROUND(D11*10*SIN(RADIANS(F14)),1)," - ",ROUND(D11*10*COS(RADIANS(F14))*D13,2))</f>
        <v>0</v>
      </c>
      <c r="K36" s="218"/>
      <c r="L36" s="218"/>
      <c r="M36" s="218"/>
      <c r="N36" s="218"/>
    </row>
    <row r="37" spans="10:14" ht="15">
      <c r="J37" s="224">
        <f>CONCATENATE("Fnet = ",ROUND(D11*10*SIN(RADIANS(F14)),1)-ROUND(D11*10*COS(RADIANS(F14))*D13,2))</f>
        <v>0</v>
      </c>
      <c r="K37" s="224"/>
      <c r="L37" s="224"/>
      <c r="M37" s="224"/>
      <c r="N37" s="224"/>
    </row>
    <row r="38" ht="15.75"/>
    <row r="39" spans="10:14" ht="15">
      <c r="J39" s="216" t="s">
        <v>166</v>
      </c>
      <c r="K39" s="216"/>
      <c r="L39" s="216"/>
      <c r="M39" s="216"/>
      <c r="N39" s="216"/>
    </row>
    <row r="40" spans="10:14" ht="15">
      <c r="J40" s="218" t="s">
        <v>167</v>
      </c>
      <c r="K40" s="218"/>
      <c r="L40" s="218"/>
      <c r="M40" s="218"/>
      <c r="N40" s="218"/>
    </row>
    <row r="41" spans="10:14" ht="15">
      <c r="J41" s="218">
        <f>CONCATENATE(ROUND(D11*10*SIN(RADIANS(F14)),1)-ROUND(D11*10*COS(RADIANS(F14))*D13,2)," = (",D11,")(a)")</f>
        <v>0</v>
      </c>
      <c r="K41" s="218"/>
      <c r="L41" s="218"/>
      <c r="M41" s="218"/>
      <c r="N41" s="218"/>
    </row>
    <row r="42" spans="10:14" ht="15">
      <c r="J42" s="224">
        <f>CONCATENATE(ROUND((ROUND(D11*10*SIN(RADIANS(F14)),1)-ROUND(D11*10*COS(RADIANS(F14))*D13,2))/D11,1)," = a")</f>
        <v>0</v>
      </c>
      <c r="K42" s="224"/>
      <c r="L42" s="224"/>
      <c r="M42" s="224"/>
      <c r="N42" s="224"/>
    </row>
  </sheetData>
  <sheetProtection password="CC7A" sheet="1" selectLockedCells="1"/>
  <mergeCells count="49">
    <mergeCell ref="C2:G2"/>
    <mergeCell ref="J2:N2"/>
    <mergeCell ref="J3:N3"/>
    <mergeCell ref="C4:C5"/>
    <mergeCell ref="G4:G5"/>
    <mergeCell ref="J4:N4"/>
    <mergeCell ref="J6:N6"/>
    <mergeCell ref="J7:N7"/>
    <mergeCell ref="J9:N9"/>
    <mergeCell ref="J10:K10"/>
    <mergeCell ref="L10:N10"/>
    <mergeCell ref="D11:E11"/>
    <mergeCell ref="J11:K11"/>
    <mergeCell ref="L11:N11"/>
    <mergeCell ref="C12:G12"/>
    <mergeCell ref="D13:E13"/>
    <mergeCell ref="F13:G13"/>
    <mergeCell ref="J13:N13"/>
    <mergeCell ref="C14:E14"/>
    <mergeCell ref="J14:N14"/>
    <mergeCell ref="C15:G15"/>
    <mergeCell ref="J15:N15"/>
    <mergeCell ref="C16:G16"/>
    <mergeCell ref="J17:N17"/>
    <mergeCell ref="C18:C19"/>
    <mergeCell ref="G18:G19"/>
    <mergeCell ref="J18:N18"/>
    <mergeCell ref="J19:N19"/>
    <mergeCell ref="J21:N21"/>
    <mergeCell ref="J22:N22"/>
    <mergeCell ref="J23:N23"/>
    <mergeCell ref="J25:N25"/>
    <mergeCell ref="C26:G26"/>
    <mergeCell ref="J26:N26"/>
    <mergeCell ref="J27:N27"/>
    <mergeCell ref="C28:C29"/>
    <mergeCell ref="G28:G29"/>
    <mergeCell ref="J29:N29"/>
    <mergeCell ref="J30:N30"/>
    <mergeCell ref="J31:N31"/>
    <mergeCell ref="J32:N32"/>
    <mergeCell ref="J34:N34"/>
    <mergeCell ref="J35:N35"/>
    <mergeCell ref="J36:N36"/>
    <mergeCell ref="J37:N37"/>
    <mergeCell ref="J39:N39"/>
    <mergeCell ref="J40:N40"/>
    <mergeCell ref="J41:N41"/>
    <mergeCell ref="J42:N42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2:O42"/>
  <sheetViews>
    <sheetView workbookViewId="0" topLeftCell="A7">
      <selection activeCell="G17" sqref="G17"/>
    </sheetView>
  </sheetViews>
  <sheetFormatPr defaultColWidth="9.140625" defaultRowHeight="15"/>
  <cols>
    <col min="1" max="2" width="2.140625" style="235" customWidth="1"/>
    <col min="3" max="3" width="7.140625" style="235" customWidth="1"/>
    <col min="4" max="4" width="4.57421875" style="235" customWidth="1"/>
    <col min="5" max="5" width="7.7109375" style="235" customWidth="1"/>
    <col min="6" max="6" width="7.140625" style="235" customWidth="1"/>
    <col min="7" max="7" width="11.421875" style="235" customWidth="1"/>
    <col min="8" max="8" width="26.57421875" style="235" customWidth="1"/>
    <col min="9" max="10" width="2.140625" style="235" customWidth="1"/>
    <col min="11" max="11" width="22.421875" style="235" customWidth="1"/>
    <col min="12" max="12" width="9.8515625" style="235" customWidth="1"/>
    <col min="13" max="13" width="5.00390625" style="235" customWidth="1"/>
    <col min="14" max="16384" width="9.140625" style="235" customWidth="1"/>
  </cols>
  <sheetData>
    <row r="2" spans="3:15" ht="15">
      <c r="C2" s="236" t="s">
        <v>168</v>
      </c>
      <c r="D2" s="236"/>
      <c r="E2" s="236"/>
      <c r="F2" s="236"/>
      <c r="G2" s="236"/>
      <c r="H2" s="236"/>
      <c r="M2" s="237"/>
      <c r="N2" s="237"/>
      <c r="O2" s="237"/>
    </row>
    <row r="3" spans="1:15" ht="15">
      <c r="A3" s="238">
        <v>0</v>
      </c>
      <c r="B3" s="238">
        <v>0</v>
      </c>
      <c r="C3" s="239"/>
      <c r="D3" s="239"/>
      <c r="E3" s="239"/>
      <c r="F3" s="239"/>
      <c r="G3" s="239"/>
      <c r="H3" s="239"/>
      <c r="K3" s="240"/>
      <c r="L3" s="240"/>
      <c r="M3" s="240"/>
      <c r="N3" s="240"/>
      <c r="O3" s="240"/>
    </row>
    <row r="4" spans="1:15" ht="15">
      <c r="A4" s="241">
        <f>G18</f>
        <v>4</v>
      </c>
      <c r="B4" s="238">
        <v>0</v>
      </c>
      <c r="C4" s="242"/>
      <c r="D4" s="243"/>
      <c r="E4" s="243"/>
      <c r="F4" s="243"/>
      <c r="G4" s="243"/>
      <c r="H4" s="242"/>
      <c r="K4" s="244"/>
      <c r="L4" s="244"/>
      <c r="M4" s="244"/>
      <c r="N4" s="244"/>
      <c r="O4" s="244"/>
    </row>
    <row r="5" spans="1:8" ht="12.75" customHeight="1">
      <c r="A5" s="238">
        <v>0</v>
      </c>
      <c r="B5" s="238">
        <v>0</v>
      </c>
      <c r="C5" s="242"/>
      <c r="D5" s="243"/>
      <c r="E5" s="243"/>
      <c r="F5" s="243"/>
      <c r="G5" s="243"/>
      <c r="H5" s="242"/>
    </row>
    <row r="6" spans="1:15" ht="15">
      <c r="A6" s="238">
        <v>0</v>
      </c>
      <c r="B6" s="238">
        <v>1</v>
      </c>
      <c r="C6" s="245"/>
      <c r="D6" s="243"/>
      <c r="E6" s="243"/>
      <c r="F6" s="243"/>
      <c r="G6" s="243"/>
      <c r="H6" s="246"/>
      <c r="K6" s="247"/>
      <c r="L6" s="247"/>
      <c r="M6" s="247"/>
      <c r="N6" s="247"/>
      <c r="O6" s="247"/>
    </row>
    <row r="7" spans="1:15" ht="15">
      <c r="A7" s="241">
        <f>G18</f>
        <v>4</v>
      </c>
      <c r="B7" s="238">
        <v>0</v>
      </c>
      <c r="C7" s="243"/>
      <c r="D7" s="243"/>
      <c r="E7" s="243"/>
      <c r="F7" s="243"/>
      <c r="G7" s="243"/>
      <c r="H7" s="243"/>
      <c r="K7" s="248"/>
      <c r="L7" s="248"/>
      <c r="M7" s="248"/>
      <c r="N7" s="248"/>
      <c r="O7" s="248"/>
    </row>
    <row r="8" spans="1:15" ht="15">
      <c r="A8" s="241">
        <f>G18</f>
        <v>4</v>
      </c>
      <c r="B8" s="238">
        <v>1</v>
      </c>
      <c r="C8" s="243"/>
      <c r="D8" s="243"/>
      <c r="E8" s="243"/>
      <c r="F8" s="243"/>
      <c r="G8" s="243"/>
      <c r="H8" s="243"/>
      <c r="K8" s="249"/>
      <c r="L8" s="249"/>
      <c r="M8" s="249"/>
      <c r="N8" s="249"/>
      <c r="O8" s="249"/>
    </row>
    <row r="9" spans="1:15" ht="15">
      <c r="A9" s="241">
        <f>G18/2+G17</f>
        <v>3</v>
      </c>
      <c r="B9" s="238">
        <v>0</v>
      </c>
      <c r="C9" s="243"/>
      <c r="D9" s="243"/>
      <c r="E9" s="243"/>
      <c r="F9" s="243"/>
      <c r="G9" s="243"/>
      <c r="H9" s="243"/>
      <c r="K9" s="247"/>
      <c r="L9" s="247"/>
      <c r="M9" s="247"/>
      <c r="N9" s="247"/>
      <c r="O9" s="247"/>
    </row>
    <row r="10" spans="1:15" ht="15">
      <c r="A10" s="241">
        <f>G18/2+G17</f>
        <v>3</v>
      </c>
      <c r="B10" s="238">
        <v>-1</v>
      </c>
      <c r="C10" s="243"/>
      <c r="D10" s="243"/>
      <c r="E10" s="243"/>
      <c r="F10" s="243"/>
      <c r="G10" s="243"/>
      <c r="H10" s="243"/>
      <c r="K10" s="250"/>
      <c r="L10" s="250"/>
      <c r="M10" s="240"/>
      <c r="N10" s="240"/>
      <c r="O10" s="240"/>
    </row>
    <row r="11" spans="1:15" ht="15.75">
      <c r="A11" s="241">
        <f>G18/2+G21</f>
        <v>2</v>
      </c>
      <c r="B11" s="238">
        <v>0</v>
      </c>
      <c r="C11" s="251"/>
      <c r="D11" s="252"/>
      <c r="E11" s="252"/>
      <c r="F11" s="253"/>
      <c r="G11" s="253"/>
      <c r="H11" s="254"/>
      <c r="K11" s="250"/>
      <c r="L11" s="250"/>
      <c r="M11" s="240"/>
      <c r="N11" s="240"/>
      <c r="O11" s="240"/>
    </row>
    <row r="12" spans="1:15" ht="15">
      <c r="A12" s="241">
        <f>G18/2+G21</f>
        <v>2</v>
      </c>
      <c r="B12" s="238">
        <v>-1</v>
      </c>
      <c r="C12" s="255"/>
      <c r="D12" s="255"/>
      <c r="E12" s="255"/>
      <c r="F12" s="255"/>
      <c r="G12" s="255"/>
      <c r="H12" s="255"/>
      <c r="K12" s="256"/>
      <c r="L12" s="256"/>
      <c r="M12" s="256"/>
      <c r="N12" s="256"/>
      <c r="O12" s="256"/>
    </row>
    <row r="13" spans="1:15" ht="15" customHeight="1">
      <c r="A13" s="238">
        <f>G18/2</f>
        <v>2</v>
      </c>
      <c r="B13" s="238">
        <v>0</v>
      </c>
      <c r="C13" s="257"/>
      <c r="D13" s="252"/>
      <c r="E13" s="252"/>
      <c r="F13" s="255"/>
      <c r="G13" s="255"/>
      <c r="H13" s="255"/>
      <c r="K13" s="247"/>
      <c r="L13" s="247"/>
      <c r="M13" s="247"/>
      <c r="N13" s="247"/>
      <c r="O13" s="247"/>
    </row>
    <row r="14" spans="1:15" ht="15.75">
      <c r="A14" s="238">
        <f>G18/2</f>
        <v>2</v>
      </c>
      <c r="B14" s="238">
        <v>-1</v>
      </c>
      <c r="C14" s="258"/>
      <c r="D14" s="258"/>
      <c r="E14" s="258"/>
      <c r="F14" s="259"/>
      <c r="G14" s="259"/>
      <c r="H14" s="254"/>
      <c r="K14" s="240"/>
      <c r="L14" s="240"/>
      <c r="M14" s="240"/>
      <c r="N14" s="240"/>
      <c r="O14" s="240"/>
    </row>
    <row r="15" spans="3:15" ht="15" customHeight="1">
      <c r="C15" s="260"/>
      <c r="H15" s="261"/>
      <c r="K15" s="240"/>
      <c r="L15" s="240"/>
      <c r="M15" s="240"/>
      <c r="N15" s="240"/>
      <c r="O15" s="240"/>
    </row>
    <row r="16" spans="3:15" ht="15" customHeight="1">
      <c r="C16" s="262" t="s">
        <v>169</v>
      </c>
      <c r="D16" s="262"/>
      <c r="E16" s="262"/>
      <c r="F16" s="262"/>
      <c r="G16" s="263">
        <v>800</v>
      </c>
      <c r="H16" s="264" t="s">
        <v>170</v>
      </c>
      <c r="K16" s="248"/>
      <c r="L16" s="248"/>
      <c r="M16" s="248"/>
      <c r="N16" s="248"/>
      <c r="O16" s="248"/>
    </row>
    <row r="17" spans="3:15" ht="15.75">
      <c r="C17" s="262" t="s">
        <v>171</v>
      </c>
      <c r="D17" s="262"/>
      <c r="E17" s="262"/>
      <c r="F17" s="262"/>
      <c r="G17" s="265">
        <v>1</v>
      </c>
      <c r="H17" s="264" t="s">
        <v>172</v>
      </c>
      <c r="K17" s="249"/>
      <c r="L17" s="249"/>
      <c r="M17" s="249"/>
      <c r="N17" s="249"/>
      <c r="O17" s="249"/>
    </row>
    <row r="18" spans="3:15" ht="15.75">
      <c r="C18" s="262" t="s">
        <v>173</v>
      </c>
      <c r="D18" s="262"/>
      <c r="E18" s="262"/>
      <c r="F18" s="262"/>
      <c r="G18" s="265">
        <v>4</v>
      </c>
      <c r="H18" s="264" t="s">
        <v>174</v>
      </c>
      <c r="K18" s="247"/>
      <c r="L18" s="247"/>
      <c r="M18" s="247"/>
      <c r="N18" s="247"/>
      <c r="O18" s="247"/>
    </row>
    <row r="19" spans="3:15" ht="15" customHeight="1">
      <c r="C19" s="266" t="s">
        <v>175</v>
      </c>
      <c r="D19" s="266"/>
      <c r="E19" s="266"/>
      <c r="F19" s="266"/>
      <c r="G19" s="266"/>
      <c r="H19" s="266"/>
      <c r="K19" s="240"/>
      <c r="L19" s="240"/>
      <c r="M19" s="240"/>
      <c r="N19" s="240"/>
      <c r="O19" s="240"/>
    </row>
    <row r="20" spans="3:15" ht="15" customHeight="1">
      <c r="C20" s="262" t="s">
        <v>176</v>
      </c>
      <c r="D20" s="262"/>
      <c r="E20" s="262"/>
      <c r="F20" s="262"/>
      <c r="G20" s="263">
        <v>0</v>
      </c>
      <c r="H20" s="264" t="s">
        <v>177</v>
      </c>
      <c r="K20" s="267"/>
      <c r="L20" s="267"/>
      <c r="M20" s="267"/>
      <c r="N20" s="267"/>
      <c r="O20" s="267"/>
    </row>
    <row r="21" spans="3:15" ht="15" customHeight="1">
      <c r="C21" s="262" t="s">
        <v>171</v>
      </c>
      <c r="D21" s="262"/>
      <c r="E21" s="262"/>
      <c r="F21" s="262"/>
      <c r="G21" s="265">
        <v>0</v>
      </c>
      <c r="H21" s="264" t="s">
        <v>172</v>
      </c>
      <c r="K21" s="267"/>
      <c r="L21" s="267"/>
      <c r="M21" s="267"/>
      <c r="N21" s="267"/>
      <c r="O21" s="267"/>
    </row>
    <row r="22" spans="3:15" ht="15" customHeight="1">
      <c r="C22" s="262" t="s">
        <v>178</v>
      </c>
      <c r="D22" s="262"/>
      <c r="E22" s="262"/>
      <c r="F22" s="262"/>
      <c r="G22" s="263">
        <v>50</v>
      </c>
      <c r="H22" s="264" t="s">
        <v>179</v>
      </c>
      <c r="K22" s="248"/>
      <c r="L22" s="248"/>
      <c r="M22" s="248"/>
      <c r="N22" s="248"/>
      <c r="O22" s="248"/>
    </row>
    <row r="23" spans="3:8" ht="15">
      <c r="C23" s="266" t="s">
        <v>180</v>
      </c>
      <c r="D23" s="266"/>
      <c r="E23" s="266"/>
      <c r="F23" s="266"/>
      <c r="G23" s="266"/>
      <c r="H23" s="266"/>
    </row>
    <row r="24" spans="11:15" ht="15">
      <c r="K24" s="247"/>
      <c r="L24" s="247"/>
      <c r="M24" s="247"/>
      <c r="N24" s="247"/>
      <c r="O24" s="247"/>
    </row>
    <row r="25" spans="3:15" ht="15">
      <c r="C25" s="236" t="s">
        <v>181</v>
      </c>
      <c r="D25" s="236"/>
      <c r="E25" s="236"/>
      <c r="F25" s="236"/>
      <c r="G25" s="236"/>
      <c r="H25" s="236"/>
      <c r="K25" s="240"/>
      <c r="L25" s="240"/>
      <c r="M25" s="240"/>
      <c r="N25" s="240"/>
      <c r="O25" s="240"/>
    </row>
    <row r="26" spans="3:15" ht="15">
      <c r="C26" s="268">
        <f>CONCATENATE("TL + TR = ",G16," + ",G20," + ",G22)</f>
        <v>0</v>
      </c>
      <c r="D26" s="268"/>
      <c r="E26" s="268"/>
      <c r="F26" s="268"/>
      <c r="G26" s="268"/>
      <c r="H26" s="268"/>
      <c r="K26" s="248"/>
      <c r="L26" s="248"/>
      <c r="M26" s="248"/>
      <c r="N26" s="248"/>
      <c r="O26" s="248"/>
    </row>
    <row r="27" ht="15" customHeight="1"/>
    <row r="28" spans="3:15" ht="28.5" customHeight="1">
      <c r="C28" s="269" t="s">
        <v>182</v>
      </c>
      <c r="D28" s="269"/>
      <c r="E28" s="269"/>
      <c r="F28" s="269"/>
      <c r="G28" s="269"/>
      <c r="H28" s="269"/>
      <c r="K28" s="247"/>
      <c r="L28" s="247"/>
      <c r="M28" s="247"/>
      <c r="N28" s="247"/>
      <c r="O28" s="247"/>
    </row>
    <row r="29" spans="3:15" ht="15">
      <c r="C29" s="268">
        <f>CONCATENATE(0,"TL - (",G16,")(",G17+G18/2,")"," - (",G20,")(",G21+G18/2,")"," - (",G22,")(",G18/2,")"," + (","TR",")(",G18,") = 0")</f>
        <v>0</v>
      </c>
      <c r="D29" s="268"/>
      <c r="E29" s="268"/>
      <c r="F29" s="268"/>
      <c r="G29" s="268"/>
      <c r="H29" s="268"/>
      <c r="K29" s="240"/>
      <c r="L29" s="240"/>
      <c r="M29" s="240"/>
      <c r="N29" s="240"/>
      <c r="O29" s="240"/>
    </row>
    <row r="30" spans="1:15" ht="1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3:15" ht="15">
      <c r="C31" s="236" t="s">
        <v>183</v>
      </c>
      <c r="D31" s="236"/>
      <c r="E31" s="236"/>
      <c r="F31" s="236"/>
      <c r="G31" s="236"/>
      <c r="H31" s="236"/>
      <c r="K31" s="267"/>
      <c r="L31" s="267"/>
      <c r="M31" s="267"/>
      <c r="N31" s="267"/>
      <c r="O31" s="267"/>
    </row>
    <row r="32" spans="3:15" ht="15">
      <c r="C32" s="270">
        <f>CONCATENATE(0,"TL - (",G16*(G17+G18/2),")"," - (",G20*(G21+G18/2),")"," - (",G22*(G18/2),")"," + (",G18,"TR) = 0")</f>
        <v>0</v>
      </c>
      <c r="D32" s="270"/>
      <c r="E32" s="270"/>
      <c r="F32" s="270"/>
      <c r="G32" s="270"/>
      <c r="H32" s="270"/>
      <c r="K32" s="240"/>
      <c r="L32" s="240"/>
      <c r="M32" s="240"/>
      <c r="N32" s="240"/>
      <c r="O32" s="240"/>
    </row>
    <row r="33" spans="3:15" ht="15">
      <c r="C33" s="270">
        <f>CONCATENATE(G18,"TR = ",(G16*(G17+G18/2))+(G20*(G21+G18/2)+(G22*(G18/2))))</f>
        <v>0</v>
      </c>
      <c r="D33" s="270"/>
      <c r="E33" s="270"/>
      <c r="F33" s="270"/>
      <c r="G33" s="270"/>
      <c r="H33" s="270"/>
      <c r="K33" s="248"/>
      <c r="L33" s="248"/>
      <c r="M33" s="248"/>
      <c r="N33" s="248"/>
      <c r="O33" s="248"/>
    </row>
    <row r="34" spans="3:8" ht="15">
      <c r="C34" s="268">
        <f>CONCATENATE("TR = ",((G16*(G17+G18/2))+(G20*(G21+G18/2)+(G22*(G18/2))))/4)</f>
        <v>0</v>
      </c>
      <c r="D34" s="268"/>
      <c r="E34" s="268"/>
      <c r="F34" s="268"/>
      <c r="G34" s="268"/>
      <c r="H34" s="268"/>
    </row>
    <row r="35" spans="11:15" ht="15">
      <c r="K35" s="247"/>
      <c r="L35" s="247"/>
      <c r="M35" s="247"/>
      <c r="N35" s="247"/>
      <c r="O35" s="247"/>
    </row>
    <row r="36" spans="3:15" ht="15">
      <c r="C36" s="236" t="s">
        <v>184</v>
      </c>
      <c r="D36" s="236"/>
      <c r="E36" s="236"/>
      <c r="F36" s="236"/>
      <c r="G36" s="236"/>
      <c r="H36" s="236"/>
      <c r="K36" s="240"/>
      <c r="L36" s="240"/>
      <c r="M36" s="240"/>
      <c r="N36" s="240"/>
      <c r="O36" s="240"/>
    </row>
    <row r="37" spans="3:15" ht="15">
      <c r="C37" s="270">
        <f>CONCATENATE("TL + ",((G16*(G17+G18/2))+(G20*(G21+G18/2)+(G22*(G18/2))))/4," = ",G16+G20+G22)</f>
        <v>0</v>
      </c>
      <c r="D37" s="270"/>
      <c r="E37" s="270"/>
      <c r="F37" s="270"/>
      <c r="G37" s="270"/>
      <c r="H37" s="270"/>
      <c r="K37" s="240"/>
      <c r="L37" s="240"/>
      <c r="M37" s="240"/>
      <c r="N37" s="240"/>
      <c r="O37" s="240"/>
    </row>
    <row r="38" spans="3:15" ht="15">
      <c r="C38" s="268">
        <f>CONCATENATE("TL "," = ",(G16+G20+G22)-(((G16*(G17+G18/2))+(G20*(G21+G18/2)+(G22*(G18/2))))/4))</f>
        <v>0</v>
      </c>
      <c r="D38" s="268"/>
      <c r="E38" s="268"/>
      <c r="F38" s="268"/>
      <c r="G38" s="268"/>
      <c r="H38" s="268"/>
      <c r="K38" s="248"/>
      <c r="L38" s="248"/>
      <c r="M38" s="248"/>
      <c r="N38" s="248"/>
      <c r="O38" s="248"/>
    </row>
    <row r="39" spans="11:15" ht="15">
      <c r="K39" s="247"/>
      <c r="L39" s="247"/>
      <c r="M39" s="247"/>
      <c r="N39" s="247"/>
      <c r="O39" s="247"/>
    </row>
    <row r="40" spans="11:15" ht="15">
      <c r="K40" s="240"/>
      <c r="L40" s="240"/>
      <c r="M40" s="240"/>
      <c r="N40" s="240"/>
      <c r="O40" s="240"/>
    </row>
    <row r="41" spans="11:15" ht="15">
      <c r="K41" s="240"/>
      <c r="L41" s="240"/>
      <c r="M41" s="240"/>
      <c r="N41" s="240"/>
      <c r="O41" s="240"/>
    </row>
    <row r="42" spans="11:15" ht="15">
      <c r="K42" s="248"/>
      <c r="L42" s="248"/>
      <c r="M42" s="248"/>
      <c r="N42" s="248"/>
      <c r="O42" s="248"/>
    </row>
  </sheetData>
  <sheetProtection password="CC7A" sheet="1" selectLockedCells="1"/>
  <mergeCells count="59">
    <mergeCell ref="C2:H2"/>
    <mergeCell ref="K3:O3"/>
    <mergeCell ref="C4:C5"/>
    <mergeCell ref="H4:H5"/>
    <mergeCell ref="K4:O4"/>
    <mergeCell ref="K6:O6"/>
    <mergeCell ref="K7:O7"/>
    <mergeCell ref="K9:O9"/>
    <mergeCell ref="K10:L10"/>
    <mergeCell ref="M10:O10"/>
    <mergeCell ref="D11:E11"/>
    <mergeCell ref="K11:L11"/>
    <mergeCell ref="M11:O11"/>
    <mergeCell ref="C12:H12"/>
    <mergeCell ref="K12:O12"/>
    <mergeCell ref="D13:E13"/>
    <mergeCell ref="F13:H13"/>
    <mergeCell ref="K13:O13"/>
    <mergeCell ref="C14:E14"/>
    <mergeCell ref="K14:O14"/>
    <mergeCell ref="K15:O15"/>
    <mergeCell ref="C16:F16"/>
    <mergeCell ref="K16:O16"/>
    <mergeCell ref="C17:F17"/>
    <mergeCell ref="C18:F18"/>
    <mergeCell ref="K18:O18"/>
    <mergeCell ref="C19:H19"/>
    <mergeCell ref="K19:O19"/>
    <mergeCell ref="C20:F20"/>
    <mergeCell ref="C21:F21"/>
    <mergeCell ref="C22:F22"/>
    <mergeCell ref="K22:O22"/>
    <mergeCell ref="C23:H23"/>
    <mergeCell ref="K24:O24"/>
    <mergeCell ref="C25:H25"/>
    <mergeCell ref="K25:O25"/>
    <mergeCell ref="C26:H26"/>
    <mergeCell ref="K26:O26"/>
    <mergeCell ref="C28:H28"/>
    <mergeCell ref="K28:O28"/>
    <mergeCell ref="C29:H29"/>
    <mergeCell ref="K29:O29"/>
    <mergeCell ref="C31:H31"/>
    <mergeCell ref="C32:H32"/>
    <mergeCell ref="K32:O32"/>
    <mergeCell ref="C33:H33"/>
    <mergeCell ref="K33:O33"/>
    <mergeCell ref="C34:H34"/>
    <mergeCell ref="K35:O35"/>
    <mergeCell ref="C36:H36"/>
    <mergeCell ref="K36:O36"/>
    <mergeCell ref="C37:H37"/>
    <mergeCell ref="K37:O37"/>
    <mergeCell ref="C38:H38"/>
    <mergeCell ref="K38:O38"/>
    <mergeCell ref="K39:O39"/>
    <mergeCell ref="K40:O40"/>
    <mergeCell ref="K41:O41"/>
    <mergeCell ref="K42:O42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B2:L19"/>
  <sheetViews>
    <sheetView workbookViewId="0" topLeftCell="A1">
      <selection activeCell="C9" sqref="C9"/>
    </sheetView>
  </sheetViews>
  <sheetFormatPr defaultColWidth="9.140625" defaultRowHeight="15"/>
  <cols>
    <col min="1" max="1" width="1.421875" style="58" customWidth="1"/>
    <col min="2" max="2" width="18.8515625" style="58" customWidth="1"/>
    <col min="3" max="3" width="14.28125" style="136" customWidth="1"/>
    <col min="4" max="4" width="9.140625" style="58" customWidth="1"/>
    <col min="5" max="5" width="2.8515625" style="58" customWidth="1"/>
    <col min="6" max="6" width="18.8515625" style="58" customWidth="1"/>
    <col min="7" max="7" width="14.28125" style="58" customWidth="1"/>
    <col min="8" max="8" width="9.140625" style="58" customWidth="1"/>
    <col min="9" max="9" width="2.8515625" style="58" customWidth="1"/>
    <col min="10" max="10" width="18.8515625" style="58" customWidth="1"/>
    <col min="11" max="11" width="14.28125" style="58" customWidth="1"/>
    <col min="12" max="16384" width="9.140625" style="58" customWidth="1"/>
  </cols>
  <sheetData>
    <row r="2" spans="2:4" ht="30" customHeight="1">
      <c r="B2" s="271" t="s">
        <v>185</v>
      </c>
      <c r="C2" s="272">
        <v>1000</v>
      </c>
      <c r="D2" s="273" t="s">
        <v>102</v>
      </c>
    </row>
    <row r="4" spans="2:8" ht="30" customHeight="1">
      <c r="B4" s="274" t="s">
        <v>186</v>
      </c>
      <c r="C4" s="272">
        <v>3.6</v>
      </c>
      <c r="D4" s="273" t="s">
        <v>6</v>
      </c>
      <c r="F4" s="271" t="s">
        <v>187</v>
      </c>
      <c r="G4" s="275">
        <f>C2*C4</f>
        <v>3600</v>
      </c>
      <c r="H4" s="273" t="s">
        <v>88</v>
      </c>
    </row>
    <row r="5" spans="6:8" ht="15">
      <c r="F5" s="276" t="s">
        <v>188</v>
      </c>
      <c r="G5" s="276"/>
      <c r="H5" s="276"/>
    </row>
    <row r="6" spans="6:8" ht="15">
      <c r="F6" s="276">
        <f>CONCATENATE("W = (",G2,")(",C4,")")</f>
        <v>0</v>
      </c>
      <c r="G6" s="276"/>
      <c r="H6" s="276"/>
    </row>
    <row r="7" spans="6:8" ht="15">
      <c r="F7" s="277">
        <f>CONCATENATE("W = ",C4*G2,"N")</f>
        <v>0</v>
      </c>
      <c r="G7" s="277"/>
      <c r="H7" s="277"/>
    </row>
    <row r="9" spans="2:12" ht="30" customHeight="1">
      <c r="B9" s="271" t="s">
        <v>189</v>
      </c>
      <c r="C9" s="272">
        <v>4.43</v>
      </c>
      <c r="D9" s="273" t="s">
        <v>9</v>
      </c>
      <c r="F9" s="271" t="s">
        <v>190</v>
      </c>
      <c r="G9" s="278">
        <f>G4/C9</f>
        <v>812.6410835214448</v>
      </c>
      <c r="H9" s="273" t="s">
        <v>191</v>
      </c>
      <c r="J9" s="271" t="s">
        <v>192</v>
      </c>
      <c r="K9" s="279">
        <v>406.3</v>
      </c>
      <c r="L9" s="273" t="s">
        <v>191</v>
      </c>
    </row>
    <row r="10" spans="6:12" ht="15" customHeight="1">
      <c r="F10" s="276" t="s">
        <v>193</v>
      </c>
      <c r="G10" s="276"/>
      <c r="H10" s="276"/>
      <c r="J10" s="116" t="s">
        <v>194</v>
      </c>
      <c r="K10" s="280">
        <f>K9/1000</f>
        <v>0.4063</v>
      </c>
      <c r="L10" s="281" t="s">
        <v>195</v>
      </c>
    </row>
    <row r="11" spans="6:12" ht="15" customHeight="1">
      <c r="F11" s="276">
        <f>CONCATENATE("Power = ",G4,"/",C9)</f>
        <v>0</v>
      </c>
      <c r="G11" s="276"/>
      <c r="H11" s="276"/>
      <c r="J11" s="116" t="s">
        <v>196</v>
      </c>
      <c r="K11" s="282">
        <f>ROUND(K9/746,4)</f>
        <v>0.5446</v>
      </c>
      <c r="L11" s="281" t="s">
        <v>197</v>
      </c>
    </row>
    <row r="12" spans="6:8" ht="15" customHeight="1">
      <c r="F12" s="277">
        <f>CONCATENATE("W = ",ROUND(G4/C9,1),"W")</f>
        <v>0</v>
      </c>
      <c r="G12" s="277"/>
      <c r="H12" s="277"/>
    </row>
    <row r="13" spans="10:12" ht="30" customHeight="1">
      <c r="J13" s="271" t="s">
        <v>192</v>
      </c>
      <c r="K13" s="283">
        <v>0.4063</v>
      </c>
      <c r="L13" s="273" t="s">
        <v>195</v>
      </c>
    </row>
    <row r="14" spans="10:12" ht="15" customHeight="1">
      <c r="J14" s="116" t="s">
        <v>198</v>
      </c>
      <c r="K14" s="284">
        <f>K13*1000</f>
        <v>406.3</v>
      </c>
      <c r="L14" s="281" t="s">
        <v>191</v>
      </c>
    </row>
    <row r="15" spans="10:12" ht="15" customHeight="1">
      <c r="J15" s="116" t="s">
        <v>199</v>
      </c>
      <c r="K15" s="282">
        <f>ROUND(K13*1000/746,4)</f>
        <v>0.5446</v>
      </c>
      <c r="L15" s="281" t="s">
        <v>197</v>
      </c>
    </row>
    <row r="16" ht="15" customHeight="1"/>
    <row r="17" spans="10:12" ht="30" customHeight="1">
      <c r="J17" s="271" t="s">
        <v>192</v>
      </c>
      <c r="K17" s="283">
        <v>0.5446</v>
      </c>
      <c r="L17" s="273" t="s">
        <v>197</v>
      </c>
    </row>
    <row r="18" spans="10:12" ht="15" customHeight="1">
      <c r="J18" s="116" t="s">
        <v>200</v>
      </c>
      <c r="K18" s="284">
        <f>K17*746</f>
        <v>406.2716</v>
      </c>
      <c r="L18" s="281" t="s">
        <v>191</v>
      </c>
    </row>
    <row r="19" spans="10:12" ht="15" customHeight="1">
      <c r="J19" s="116" t="s">
        <v>201</v>
      </c>
      <c r="K19" s="282">
        <f>ROUND(K17*746/1000,4)</f>
        <v>0.4063</v>
      </c>
      <c r="L19" s="281" t="s">
        <v>195</v>
      </c>
    </row>
  </sheetData>
  <sheetProtection password="CC7A" sheet="1" selectLockedCells="1"/>
  <mergeCells count="6">
    <mergeCell ref="F5:H5"/>
    <mergeCell ref="F6:H6"/>
    <mergeCell ref="F7:H7"/>
    <mergeCell ref="F10:H10"/>
    <mergeCell ref="F11:H11"/>
    <mergeCell ref="F12:H12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B2:L24"/>
  <sheetViews>
    <sheetView workbookViewId="0" topLeftCell="A1">
      <selection activeCell="C7" sqref="C7"/>
    </sheetView>
  </sheetViews>
  <sheetFormatPr defaultColWidth="9.140625" defaultRowHeight="15"/>
  <cols>
    <col min="1" max="1" width="1.421875" style="58" customWidth="1"/>
    <col min="2" max="2" width="18.8515625" style="58" customWidth="1"/>
    <col min="3" max="3" width="14.28125" style="136" customWidth="1"/>
    <col min="4" max="4" width="9.140625" style="58" customWidth="1"/>
    <col min="5" max="5" width="2.8515625" style="58" customWidth="1"/>
    <col min="6" max="6" width="18.8515625" style="58" customWidth="1"/>
    <col min="7" max="7" width="14.28125" style="58" customWidth="1"/>
    <col min="8" max="8" width="9.140625" style="58" customWidth="1"/>
    <col min="9" max="9" width="2.8515625" style="58" customWidth="1"/>
    <col min="10" max="10" width="18.8515625" style="58" customWidth="1"/>
    <col min="11" max="11" width="14.28125" style="58" customWidth="1"/>
    <col min="12" max="16384" width="9.140625" style="58" customWidth="1"/>
  </cols>
  <sheetData>
    <row r="2" spans="2:8" ht="30" customHeight="1">
      <c r="B2" s="271" t="s">
        <v>202</v>
      </c>
      <c r="C2" s="272">
        <v>50</v>
      </c>
      <c r="D2" s="273" t="s">
        <v>95</v>
      </c>
      <c r="F2" s="271" t="s">
        <v>185</v>
      </c>
      <c r="G2" s="275">
        <f>C2*10</f>
        <v>500</v>
      </c>
      <c r="H2" s="273" t="s">
        <v>102</v>
      </c>
    </row>
    <row r="3" spans="6:8" ht="15">
      <c r="F3" s="276" t="s">
        <v>203</v>
      </c>
      <c r="G3" s="276"/>
      <c r="H3" s="276"/>
    </row>
    <row r="4" spans="6:8" s="58" customFormat="1" ht="15">
      <c r="F4" s="276">
        <f>CONCATENATE("F = (",C2,")(10)")</f>
        <v>0</v>
      </c>
      <c r="G4" s="276"/>
      <c r="H4" s="276"/>
    </row>
    <row r="5" spans="6:8" s="58" customFormat="1" ht="15">
      <c r="F5" s="277">
        <f>CONCATENATE("F = ",C2*10,"N")</f>
        <v>0</v>
      </c>
      <c r="G5" s="277"/>
      <c r="H5" s="277"/>
    </row>
    <row r="7" spans="2:4" ht="30" customHeight="1">
      <c r="B7" s="271" t="s">
        <v>204</v>
      </c>
      <c r="C7" s="272"/>
      <c r="D7" s="273" t="s">
        <v>9</v>
      </c>
    </row>
    <row r="8" ht="15"/>
    <row r="9" spans="2:8" ht="45">
      <c r="B9" s="274" t="s">
        <v>205</v>
      </c>
      <c r="C9" s="272">
        <v>2</v>
      </c>
      <c r="D9" s="273" t="s">
        <v>6</v>
      </c>
      <c r="F9" s="271" t="s">
        <v>187</v>
      </c>
      <c r="G9" s="275">
        <f>G2*C9</f>
        <v>1000</v>
      </c>
      <c r="H9" s="273" t="s">
        <v>88</v>
      </c>
    </row>
    <row r="10" spans="6:8" ht="15">
      <c r="F10" s="276" t="s">
        <v>188</v>
      </c>
      <c r="G10" s="276"/>
      <c r="H10" s="276"/>
    </row>
    <row r="11" spans="6:8" ht="15">
      <c r="F11" s="276">
        <f>CONCATENATE("W = (",G2,")(",C9,")")</f>
        <v>0</v>
      </c>
      <c r="G11" s="276"/>
      <c r="H11" s="276"/>
    </row>
    <row r="12" spans="6:8" ht="15">
      <c r="F12" s="277">
        <f>CONCATENATE("W = ",C9*G2,"N")</f>
        <v>0</v>
      </c>
      <c r="G12" s="277"/>
      <c r="H12" s="277"/>
    </row>
    <row r="14" spans="6:12" ht="30" customHeight="1">
      <c r="F14" s="271" t="s">
        <v>190</v>
      </c>
      <c r="G14" s="278" t="e">
        <f>G9/C7</f>
        <v>#DIV/0!</v>
      </c>
      <c r="H14" s="273" t="s">
        <v>191</v>
      </c>
      <c r="J14" s="271" t="s">
        <v>192</v>
      </c>
      <c r="K14" s="279">
        <v>406.3</v>
      </c>
      <c r="L14" s="273" t="s">
        <v>191</v>
      </c>
    </row>
    <row r="15" spans="6:12" ht="15">
      <c r="F15" s="276" t="s">
        <v>193</v>
      </c>
      <c r="G15" s="276"/>
      <c r="H15" s="276"/>
      <c r="J15" s="116" t="s">
        <v>194</v>
      </c>
      <c r="K15" s="280">
        <f>K14/1000</f>
        <v>0.4063</v>
      </c>
      <c r="L15" s="281" t="s">
        <v>195</v>
      </c>
    </row>
    <row r="16" spans="6:12" ht="15">
      <c r="F16" s="276">
        <f>CONCATENATE("Power = ",G9,"/",C7)</f>
        <v>0</v>
      </c>
      <c r="G16" s="276"/>
      <c r="H16" s="276"/>
      <c r="J16" s="116" t="s">
        <v>196</v>
      </c>
      <c r="K16" s="282">
        <f>ROUND(K14/746,4)</f>
        <v>0.5446</v>
      </c>
      <c r="L16" s="281" t="s">
        <v>197</v>
      </c>
    </row>
    <row r="17" spans="6:8" ht="15">
      <c r="F17" s="277" t="e">
        <f>CONCATENATE("W = ",ROUND(G9/C7,1),"W")</f>
        <v>#DIV/0!</v>
      </c>
      <c r="G17" s="277"/>
      <c r="H17" s="277"/>
    </row>
    <row r="18" spans="10:12" ht="30" customHeight="1">
      <c r="J18" s="271" t="s">
        <v>192</v>
      </c>
      <c r="K18" s="283">
        <v>0.4063</v>
      </c>
      <c r="L18" s="273" t="s">
        <v>195</v>
      </c>
    </row>
    <row r="19" spans="10:12" ht="15">
      <c r="J19" s="116" t="s">
        <v>198</v>
      </c>
      <c r="K19" s="284">
        <f>K18*1000</f>
        <v>406.3</v>
      </c>
      <c r="L19" s="281" t="s">
        <v>191</v>
      </c>
    </row>
    <row r="20" spans="10:12" ht="15">
      <c r="J20" s="116" t="s">
        <v>199</v>
      </c>
      <c r="K20" s="282">
        <f>ROUND(K18*1000/746,4)</f>
        <v>0.5446</v>
      </c>
      <c r="L20" s="281" t="s">
        <v>197</v>
      </c>
    </row>
    <row r="22" spans="10:12" ht="30" customHeight="1">
      <c r="J22" s="271" t="s">
        <v>192</v>
      </c>
      <c r="K22" s="283">
        <v>0.5446</v>
      </c>
      <c r="L22" s="273" t="s">
        <v>197</v>
      </c>
    </row>
    <row r="23" spans="10:12" ht="15">
      <c r="J23" s="116" t="s">
        <v>200</v>
      </c>
      <c r="K23" s="284">
        <f>K22*746</f>
        <v>406.2716</v>
      </c>
      <c r="L23" s="281" t="s">
        <v>191</v>
      </c>
    </row>
    <row r="24" spans="10:12" ht="15">
      <c r="J24" s="116" t="s">
        <v>201</v>
      </c>
      <c r="K24" s="282">
        <f>ROUND(K22*746/1000,4)</f>
        <v>0.4063</v>
      </c>
      <c r="L24" s="281" t="s">
        <v>195</v>
      </c>
    </row>
  </sheetData>
  <sheetProtection password="CC7A" sheet="1" selectLockedCells="1"/>
  <mergeCells count="9">
    <mergeCell ref="F3:H3"/>
    <mergeCell ref="F4:H4"/>
    <mergeCell ref="F5:H5"/>
    <mergeCell ref="F10:H10"/>
    <mergeCell ref="F11:H11"/>
    <mergeCell ref="F12:H12"/>
    <mergeCell ref="F15:H15"/>
    <mergeCell ref="F16:H16"/>
    <mergeCell ref="F17:H17"/>
  </mergeCells>
  <printOptions/>
  <pageMargins left="0.7000000000000001" right="0.7000000000000001" top="0.75" bottom="0.75" header="0.5118110236220472" footer="0.5118110236220472"/>
  <pageSetup horizontalDpi="300" verticalDpi="300" orientation="portrait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B2:H17"/>
  <sheetViews>
    <sheetView workbookViewId="0" topLeftCell="A1">
      <selection activeCell="C9" sqref="C9"/>
    </sheetView>
  </sheetViews>
  <sheetFormatPr defaultColWidth="9.140625" defaultRowHeight="15" customHeight="1"/>
  <cols>
    <col min="1" max="1" width="1.421875" style="285" customWidth="1"/>
    <col min="2" max="2" width="18.8515625" style="285" customWidth="1"/>
    <col min="3" max="3" width="14.28125" style="286" customWidth="1"/>
    <col min="4" max="4" width="9.140625" style="285" customWidth="1"/>
    <col min="5" max="5" width="2.8515625" style="285" customWidth="1"/>
    <col min="6" max="6" width="18.8515625" style="285" customWidth="1"/>
    <col min="7" max="7" width="14.28125" style="285" customWidth="1"/>
    <col min="8" max="8" width="9.140625" style="285" customWidth="1"/>
    <col min="9" max="9" width="2.8515625" style="285" customWidth="1"/>
    <col min="10" max="10" width="18.8515625" style="285" customWidth="1"/>
    <col min="11" max="11" width="14.28125" style="285" customWidth="1"/>
    <col min="12" max="16384" width="9.140625" style="285" customWidth="1"/>
  </cols>
  <sheetData>
    <row r="2" spans="2:8" ht="30" customHeight="1">
      <c r="B2" s="287" t="s">
        <v>206</v>
      </c>
      <c r="C2" s="287"/>
      <c r="D2" s="287"/>
      <c r="F2" s="287" t="s">
        <v>206</v>
      </c>
      <c r="G2" s="287"/>
      <c r="H2" s="287"/>
    </row>
    <row r="3" spans="2:8" ht="15" customHeight="1">
      <c r="B3" s="288" t="s">
        <v>207</v>
      </c>
      <c r="C3" s="289">
        <v>5</v>
      </c>
      <c r="D3" s="288" t="s">
        <v>102</v>
      </c>
      <c r="F3" s="290" t="s">
        <v>208</v>
      </c>
      <c r="G3" s="290"/>
      <c r="H3" s="290"/>
    </row>
    <row r="4" spans="2:8" ht="15" customHeight="1">
      <c r="B4" s="288" t="s">
        <v>209</v>
      </c>
      <c r="C4" s="291">
        <v>0.26</v>
      </c>
      <c r="D4" s="288" t="s">
        <v>6</v>
      </c>
      <c r="F4" s="290">
        <f>CONCATENATE("Wo = (",C3,")(",C4,")")</f>
        <v>0</v>
      </c>
      <c r="G4" s="290"/>
      <c r="H4" s="290"/>
    </row>
    <row r="5" spans="6:8" ht="15" customHeight="1">
      <c r="F5" s="290">
        <f>CONCATENATE("Wo = ",ROUND(C3*C4,3))</f>
        <v>0</v>
      </c>
      <c r="G5" s="290"/>
      <c r="H5" s="290"/>
    </row>
    <row r="7" spans="2:8" ht="30" customHeight="1">
      <c r="B7" s="287" t="s">
        <v>210</v>
      </c>
      <c r="C7" s="287"/>
      <c r="D7" s="287"/>
      <c r="F7" s="287" t="s">
        <v>210</v>
      </c>
      <c r="G7" s="287"/>
      <c r="H7" s="287"/>
    </row>
    <row r="8" spans="2:8" ht="15" customHeight="1">
      <c r="B8" s="288" t="s">
        <v>211</v>
      </c>
      <c r="C8" s="289">
        <v>9</v>
      </c>
      <c r="D8" s="288" t="s">
        <v>102</v>
      </c>
      <c r="F8" s="290" t="s">
        <v>212</v>
      </c>
      <c r="G8" s="290"/>
      <c r="H8" s="290"/>
    </row>
    <row r="9" spans="2:8" ht="15" customHeight="1">
      <c r="B9" s="288" t="s">
        <v>213</v>
      </c>
      <c r="C9" s="291">
        <v>0.1</v>
      </c>
      <c r="D9" s="288" t="s">
        <v>6</v>
      </c>
      <c r="F9" s="290">
        <f>CONCATENATE("Wi = (",C8,")(",C9,")")</f>
        <v>0</v>
      </c>
      <c r="G9" s="290"/>
      <c r="H9" s="290"/>
    </row>
    <row r="10" spans="6:8" ht="15" customHeight="1">
      <c r="F10" s="290">
        <f>CONCATENATE("Wi = ",ROUND(C8*C9,3))</f>
        <v>0</v>
      </c>
      <c r="G10" s="290"/>
      <c r="H10" s="290"/>
    </row>
    <row r="12" spans="2:8" ht="15" customHeight="1">
      <c r="B12" s="292">
        <f>IF(C8&gt;C3,"Something's wrong with your FORCE values.",IF(C4&gt;C9,"Something's wrong with your DISTANCE values.","Yay! Nothing's wrong!"))</f>
        <v>0</v>
      </c>
      <c r="C12" s="292"/>
      <c r="D12" s="292"/>
      <c r="E12" s="292"/>
      <c r="F12" s="292"/>
      <c r="G12" s="292"/>
      <c r="H12" s="292"/>
    </row>
    <row r="14" spans="6:8" ht="30" customHeight="1">
      <c r="F14" s="287" t="s">
        <v>214</v>
      </c>
      <c r="G14" s="287"/>
      <c r="H14" s="287"/>
    </row>
    <row r="15" spans="6:8" ht="15" customHeight="1">
      <c r="F15" s="290" t="s">
        <v>215</v>
      </c>
      <c r="G15" s="290"/>
      <c r="H15" s="290"/>
    </row>
    <row r="16" spans="6:8" ht="15" customHeight="1">
      <c r="F16" s="290">
        <f>CONCATENATE(ROUND(C3*C4,3),"/",ROUND(C8*C9,3)," = e")</f>
        <v>0</v>
      </c>
      <c r="G16" s="290"/>
      <c r="H16" s="290"/>
    </row>
    <row r="17" spans="6:8" ht="15" customHeight="1">
      <c r="F17" s="290">
        <f>CONCATENATE(ROUND(C3*C4/C8/C9*100,2),"% = e")</f>
        <v>0</v>
      </c>
      <c r="G17" s="290"/>
      <c r="H17" s="290"/>
    </row>
  </sheetData>
  <sheetProtection password="CC7A" sheet="1" selectLockedCells="1"/>
  <mergeCells count="15">
    <mergeCell ref="B2:D2"/>
    <mergeCell ref="F2:H2"/>
    <mergeCell ref="F3:H3"/>
    <mergeCell ref="F4:H4"/>
    <mergeCell ref="F5:H5"/>
    <mergeCell ref="B7:D7"/>
    <mergeCell ref="F7:H7"/>
    <mergeCell ref="F8:H8"/>
    <mergeCell ref="F9:H9"/>
    <mergeCell ref="F10:H10"/>
    <mergeCell ref="B12:H12"/>
    <mergeCell ref="F14:H14"/>
    <mergeCell ref="F15:H15"/>
    <mergeCell ref="F16:H16"/>
    <mergeCell ref="F17:H1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B2:M15"/>
  <sheetViews>
    <sheetView workbookViewId="0" topLeftCell="A1">
      <selection activeCell="C3" sqref="C3"/>
    </sheetView>
  </sheetViews>
  <sheetFormatPr defaultColWidth="9.140625" defaultRowHeight="15" customHeight="1"/>
  <cols>
    <col min="1" max="1" width="1.421875" style="285" customWidth="1"/>
    <col min="2" max="2" width="6.28125" style="285" customWidth="1"/>
    <col min="3" max="3" width="9.140625" style="286" customWidth="1"/>
    <col min="4" max="4" width="18.8515625" style="285" customWidth="1"/>
    <col min="5" max="5" width="9.140625" style="285" customWidth="1"/>
    <col min="6" max="6" width="10.57421875" style="285" customWidth="1"/>
    <col min="7" max="7" width="11.140625" style="285" customWidth="1"/>
    <col min="8" max="8" width="12.28125" style="285" customWidth="1"/>
    <col min="9" max="9" width="2.8515625" style="285" customWidth="1"/>
    <col min="10" max="13" width="22.57421875" style="285" customWidth="1"/>
    <col min="14" max="16384" width="9.140625" style="285" customWidth="1"/>
  </cols>
  <sheetData>
    <row r="2" spans="2:8" ht="15" customHeight="1">
      <c r="B2" s="293" t="s">
        <v>79</v>
      </c>
      <c r="C2" s="294">
        <v>60</v>
      </c>
      <c r="D2" s="295" t="s">
        <v>216</v>
      </c>
      <c r="E2" s="294">
        <v>5</v>
      </c>
      <c r="F2" s="296" t="s">
        <v>217</v>
      </c>
      <c r="G2" s="294" t="s">
        <v>218</v>
      </c>
      <c r="H2" s="296" t="s">
        <v>219</v>
      </c>
    </row>
    <row r="3" spans="2:8" ht="15" customHeight="1">
      <c r="B3" s="293" t="s">
        <v>220</v>
      </c>
      <c r="C3" s="294">
        <v>90</v>
      </c>
      <c r="D3" s="295" t="s">
        <v>221</v>
      </c>
      <c r="E3" s="294">
        <v>2</v>
      </c>
      <c r="F3" s="296" t="s">
        <v>217</v>
      </c>
      <c r="G3" s="294" t="s">
        <v>218</v>
      </c>
      <c r="H3" s="296"/>
    </row>
    <row r="4" spans="2:8" ht="15" customHeight="1">
      <c r="B4" s="297" t="s">
        <v>222</v>
      </c>
      <c r="C4" s="297"/>
      <c r="D4" s="297"/>
      <c r="E4" s="297"/>
      <c r="F4" s="297"/>
      <c r="G4" s="297"/>
      <c r="H4" s="297"/>
    </row>
    <row r="5" spans="4:6" s="285" customFormat="1" ht="15" customHeight="1">
      <c r="D5" s="298">
        <f>IF(LEFT(G2,1)="R",E2,-E2)</f>
        <v>5</v>
      </c>
      <c r="E5" s="298"/>
      <c r="F5" s="298">
        <f>IF(LEFT(G3,1)="R",E3,-E3)</f>
        <v>2</v>
      </c>
    </row>
    <row r="6" spans="2:13" ht="30" customHeight="1">
      <c r="B6" s="299" t="s">
        <v>223</v>
      </c>
      <c r="C6" s="299"/>
      <c r="D6" s="299"/>
      <c r="E6" s="299"/>
      <c r="F6" s="299"/>
      <c r="G6" s="299"/>
      <c r="H6" s="299"/>
      <c r="J6" s="299" t="s">
        <v>224</v>
      </c>
      <c r="K6" s="299"/>
      <c r="L6" s="299"/>
      <c r="M6" s="299"/>
    </row>
    <row r="7" spans="2:13" ht="15" customHeight="1">
      <c r="B7" s="300" t="s">
        <v>225</v>
      </c>
      <c r="C7" s="300"/>
      <c r="D7" s="300"/>
      <c r="E7" s="300"/>
      <c r="F7" s="300"/>
      <c r="G7" s="300"/>
      <c r="H7" s="300"/>
      <c r="J7" s="299" t="s">
        <v>226</v>
      </c>
      <c r="K7" s="301" t="s">
        <v>227</v>
      </c>
      <c r="L7" s="301" t="s">
        <v>228</v>
      </c>
      <c r="M7" s="301" t="s">
        <v>229</v>
      </c>
    </row>
    <row r="8" spans="2:13" ht="15" customHeight="1">
      <c r="B8" s="302">
        <f>CONCATENATE("(",C2,")(",D5,") + (",C3,")(",F5,") = (",C2,"+",C3,")V")</f>
        <v>0</v>
      </c>
      <c r="C8" s="302"/>
      <c r="D8" s="302"/>
      <c r="E8" s="302"/>
      <c r="F8" s="302"/>
      <c r="G8" s="302"/>
      <c r="H8" s="302"/>
      <c r="J8" s="299"/>
      <c r="K8" s="303" t="s">
        <v>230</v>
      </c>
      <c r="L8" s="303" t="s">
        <v>230</v>
      </c>
      <c r="M8" s="303" t="s">
        <v>230</v>
      </c>
    </row>
    <row r="9" spans="2:13" ht="15" customHeight="1">
      <c r="B9" s="302">
        <f>CONCATENATE("(",C2*D5,") + (",C3*F5,") = (",C2+C3,")V")</f>
        <v>0</v>
      </c>
      <c r="C9" s="302"/>
      <c r="D9" s="302"/>
      <c r="E9" s="302"/>
      <c r="F9" s="302"/>
      <c r="G9" s="302"/>
      <c r="H9" s="302"/>
      <c r="J9" s="304">
        <f>C2</f>
        <v>60</v>
      </c>
      <c r="K9" s="305">
        <f>CONCATENATE("(",C2,")(",D5,")")</f>
        <v>0</v>
      </c>
      <c r="L9" s="305">
        <f>CONCATENATE("(",C2,")(",ROUND((C2*D5+C3*F5)/(C2+C3),1),")")</f>
        <v>0</v>
      </c>
      <c r="M9" s="306">
        <f>CONCATENATE("(",L10,") - (",K10,")")</f>
        <v>0</v>
      </c>
    </row>
    <row r="10" spans="2:13" ht="15" customHeight="1">
      <c r="B10" s="302">
        <f>CONCATENATE(C2*D5+C3*F5," = (",C2+C3,")V")</f>
        <v>0</v>
      </c>
      <c r="C10" s="302"/>
      <c r="D10" s="302"/>
      <c r="E10" s="302"/>
      <c r="F10" s="302"/>
      <c r="G10" s="302"/>
      <c r="H10" s="302"/>
      <c r="J10" s="304"/>
      <c r="K10" s="307">
        <f>C2*E2</f>
        <v>300</v>
      </c>
      <c r="L10" s="308">
        <f>ROUND(C2*(C2*D5+C3*F5)/(C2+C3),1)</f>
        <v>192</v>
      </c>
      <c r="M10" s="307">
        <f>L10-K10</f>
        <v>-108</v>
      </c>
    </row>
    <row r="11" spans="2:13" ht="15" customHeight="1">
      <c r="B11" s="302">
        <f>CONCATENATE(C2*D5+C3*F5,"/",C2+C3," = V")</f>
        <v>0</v>
      </c>
      <c r="C11" s="302"/>
      <c r="D11" s="302"/>
      <c r="E11" s="302"/>
      <c r="F11" s="302"/>
      <c r="G11" s="302"/>
      <c r="H11" s="302"/>
      <c r="J11" s="304">
        <f>C3</f>
        <v>90</v>
      </c>
      <c r="K11" s="305">
        <f>CONCATENATE("(",C3,")(",F5,")")</f>
        <v>0</v>
      </c>
      <c r="L11" s="309">
        <f>CONCATENATE("(",C3,")(",ROUND((C2*D5+C3*F5)/(C2+C3),1),")")</f>
        <v>0</v>
      </c>
      <c r="M11" s="306">
        <f>CONCATENATE("(",L12,") - (",K12,")")</f>
        <v>0</v>
      </c>
    </row>
    <row r="12" spans="2:13" ht="15" customHeight="1">
      <c r="B12" s="302">
        <f>CONCATENATE(ROUND((C2*D5+C3*F5)/(C2+C3),1)," = V")</f>
        <v>0</v>
      </c>
      <c r="C12" s="302"/>
      <c r="D12" s="302"/>
      <c r="E12" s="302"/>
      <c r="F12" s="302"/>
      <c r="G12" s="302"/>
      <c r="H12" s="302"/>
      <c r="J12" s="304"/>
      <c r="K12" s="308">
        <f>C3*F5</f>
        <v>180</v>
      </c>
      <c r="L12" s="308">
        <f>ROUND(C3*(C2*D5+C3*F5)/(C2+C3),1)</f>
        <v>288</v>
      </c>
      <c r="M12" s="308">
        <f>L12-K12</f>
        <v>108</v>
      </c>
    </row>
    <row r="13" spans="10:13" s="285" customFormat="1" ht="15" customHeight="1">
      <c r="J13" s="304" t="s">
        <v>231</v>
      </c>
      <c r="K13" s="305">
        <f>CONCATENATE("(",K10,") + (",K12,")")</f>
        <v>0</v>
      </c>
      <c r="L13" s="305">
        <f>CONCATENATE("(",L10,") + (",L12,")")</f>
        <v>0</v>
      </c>
      <c r="M13" s="305">
        <f>CONCATENATE("(",M10,") + (",M12,")")</f>
        <v>0</v>
      </c>
    </row>
    <row r="14" spans="10:13" s="285" customFormat="1" ht="15" customHeight="1">
      <c r="J14" s="304"/>
      <c r="K14" s="308">
        <f>SUM(K10,K12)</f>
        <v>480</v>
      </c>
      <c r="L14" s="308">
        <f>SUM(L10,L12)</f>
        <v>480</v>
      </c>
      <c r="M14" s="308">
        <f>SUM(M10,M12)</f>
        <v>0</v>
      </c>
    </row>
    <row r="15" spans="10:13" s="285" customFormat="1" ht="15" customHeight="1">
      <c r="J15" s="296"/>
      <c r="K15" s="310" t="s">
        <v>232</v>
      </c>
      <c r="L15" s="310"/>
      <c r="M15" s="301" t="s">
        <v>233</v>
      </c>
    </row>
    <row r="16" s="285" customFormat="1" ht="15" customHeight="1"/>
    <row r="17" s="285" customFormat="1" ht="15" customHeight="1"/>
    <row r="18" s="285" customFormat="1" ht="15" customHeight="1"/>
    <row r="19" s="285" customFormat="1" ht="15" customHeight="1"/>
    <row r="20" s="285" customFormat="1" ht="15" customHeight="1"/>
    <row r="21" s="285" customFormat="1" ht="15" customHeight="1"/>
    <row r="22" s="285" customFormat="1" ht="15" customHeight="1"/>
  </sheetData>
  <sheetProtection password="CC7A" sheet="1" selectLockedCells="1"/>
  <mergeCells count="14">
    <mergeCell ref="B4:H4"/>
    <mergeCell ref="B6:H6"/>
    <mergeCell ref="J6:M6"/>
    <mergeCell ref="B7:H7"/>
    <mergeCell ref="J7:J8"/>
    <mergeCell ref="B8:H8"/>
    <mergeCell ref="B9:H9"/>
    <mergeCell ref="J9:J10"/>
    <mergeCell ref="B10:H10"/>
    <mergeCell ref="B11:H11"/>
    <mergeCell ref="J11:J12"/>
    <mergeCell ref="B12:H12"/>
    <mergeCell ref="J13:J14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5"/>
  <sheetViews>
    <sheetView zoomScale="85" zoomScaleNormal="85" workbookViewId="0" topLeftCell="A1">
      <selection activeCell="G13" sqref="G13"/>
    </sheetView>
  </sheetViews>
  <sheetFormatPr defaultColWidth="9.140625" defaultRowHeight="15"/>
  <cols>
    <col min="1" max="1" width="1.421875" style="311" customWidth="1"/>
    <col min="2" max="2" width="9.140625" style="311" customWidth="1"/>
    <col min="3" max="3" width="7.8515625" style="311" customWidth="1"/>
    <col min="4" max="4" width="9.140625" style="311" customWidth="1"/>
    <col min="5" max="5" width="7.8515625" style="311" customWidth="1"/>
    <col min="6" max="7" width="9.140625" style="311" customWidth="1"/>
    <col min="8" max="11" width="11.57421875" style="311" customWidth="1"/>
    <col min="12" max="16384" width="9.140625" style="311" customWidth="1"/>
  </cols>
  <sheetData>
    <row r="1" ht="15.75"/>
    <row r="2" spans="2:11" ht="15">
      <c r="B2" s="312"/>
      <c r="C2" s="313" t="s">
        <v>234</v>
      </c>
      <c r="D2" s="312"/>
      <c r="E2" s="313" t="s">
        <v>234</v>
      </c>
      <c r="F2" s="312"/>
      <c r="H2" s="314" t="s">
        <v>235</v>
      </c>
      <c r="I2" s="314"/>
      <c r="J2" s="314"/>
      <c r="K2" s="314"/>
    </row>
    <row r="3" spans="2:11" ht="15">
      <c r="B3" s="315"/>
      <c r="F3" s="316"/>
      <c r="H3" s="317">
        <f>IF(AND(LEFT(C2,3)="^^^",LEFT(E2,3)="^^^",LEFT(C4,3)="___"),"SERIES",IF(OR(AND(LEFT(C2,3)="^^^",LEFT(C4,3)="^^^",LEFT(E2,3)="___"),AND(LEFT(C2,3)="___",LEFT(C4,3)="^^^",LEFT(E2,3)="^^^")),"PARALLEL","INVALID"))</f>
        <v>0</v>
      </c>
      <c r="I3" s="317"/>
      <c r="J3" s="317"/>
      <c r="K3" s="317"/>
    </row>
    <row r="4" spans="2:11" ht="46.5" customHeight="1">
      <c r="B4" s="318"/>
      <c r="C4" s="313" t="s">
        <v>236</v>
      </c>
      <c r="F4" s="319"/>
      <c r="H4" s="317"/>
      <c r="I4" s="317"/>
      <c r="J4" s="317"/>
      <c r="K4" s="317"/>
    </row>
    <row r="5" spans="2:11" ht="15.75">
      <c r="B5" s="315"/>
      <c r="D5" s="320"/>
      <c r="E5" s="320"/>
      <c r="F5" s="316"/>
      <c r="H5" s="317"/>
      <c r="I5" s="317"/>
      <c r="J5" s="317"/>
      <c r="K5" s="317"/>
    </row>
    <row r="6" spans="2:6" ht="46.5" customHeight="1">
      <c r="B6" s="321"/>
      <c r="C6" s="322"/>
      <c r="D6" s="322"/>
      <c r="E6" s="322"/>
      <c r="F6" s="319"/>
    </row>
    <row r="7" spans="1:6" ht="15" customHeight="1">
      <c r="A7" s="319"/>
      <c r="B7" s="322"/>
      <c r="C7" s="323" t="s">
        <v>237</v>
      </c>
      <c r="F7" s="324"/>
    </row>
    <row r="8" spans="2:6" ht="15">
      <c r="B8" s="320"/>
      <c r="C8" s="323"/>
      <c r="D8" s="320"/>
      <c r="E8" s="320"/>
      <c r="F8" s="320"/>
    </row>
    <row r="10" ht="15" customHeight="1">
      <c r="E10" s="325"/>
    </row>
    <row r="11" spans="2:7" ht="15" customHeight="1">
      <c r="B11" s="326" t="s">
        <v>238</v>
      </c>
      <c r="C11" s="327">
        <v>10</v>
      </c>
      <c r="D11" s="326" t="s">
        <v>239</v>
      </c>
      <c r="E11" s="328">
        <f>IF(OR(H3="SERIES",H3="PARALLEL"),C11/G11)</f>
        <v>0.25</v>
      </c>
      <c r="F11" s="326" t="s">
        <v>240</v>
      </c>
      <c r="G11" s="328">
        <f>IF(H3="SERIES",G13+G15,IF(H3="PARALLEL",1/(1/G13+1/G15),0))</f>
        <v>40</v>
      </c>
    </row>
    <row r="12" ht="4.5" customHeight="1">
      <c r="E12" s="322"/>
    </row>
    <row r="13" spans="2:7" ht="15">
      <c r="B13" s="326" t="s">
        <v>241</v>
      </c>
      <c r="C13" s="328">
        <f>IF(H3="PARALLEL",C11,IF(H3="SERIES",C11*(G13/(G13+G15)),0))</f>
        <v>2.5</v>
      </c>
      <c r="D13" s="326" t="s">
        <v>242</v>
      </c>
      <c r="E13" s="328">
        <f>IF(H3="PARALLEL",(G13/(G13+G15))*E11,IF(H3="SERIES",E11,0))</f>
        <v>0.25</v>
      </c>
      <c r="F13" s="326" t="s">
        <v>243</v>
      </c>
      <c r="G13" s="327">
        <v>10</v>
      </c>
    </row>
    <row r="14" spans="3:5" ht="4.5" customHeight="1">
      <c r="C14" s="329"/>
      <c r="E14" s="322"/>
    </row>
    <row r="15" spans="2:7" ht="15">
      <c r="B15" s="326" t="s">
        <v>244</v>
      </c>
      <c r="C15" s="328">
        <f>IF(H3="PARALLEL",C11,IF(H3="SERIES",C11*(G15/(G13+G15)),0))</f>
        <v>7.5</v>
      </c>
      <c r="D15" s="326" t="s">
        <v>245</v>
      </c>
      <c r="E15" s="328">
        <f>IF(H3="PARALLEL",(G15/(G13+G15))*E11,IF(H3="SERIES",E11,0))</f>
        <v>0.25</v>
      </c>
      <c r="F15" s="326" t="s">
        <v>246</v>
      </c>
      <c r="G15" s="327">
        <v>30</v>
      </c>
    </row>
  </sheetData>
  <sheetProtection password="CC7A" sheet="1" selectLockedCells="1"/>
  <mergeCells count="3">
    <mergeCell ref="H2:K2"/>
    <mergeCell ref="H3:K5"/>
    <mergeCell ref="C7:C8"/>
  </mergeCells>
  <conditionalFormatting sqref="C2 E2 C4">
    <cfRule type="expression" priority="1" dxfId="0" stopIfTrue="1">
      <formula>NOT(ISERROR(SEARCH("^^^",C2)))</formula>
    </cfRule>
    <cfRule type="expression" priority="2" dxfId="1" stopIfTrue="1">
      <formula>NOT(ISERROR(SEARCH("___",C2)))</formula>
    </cfRule>
  </conditionalFormatting>
  <conditionalFormatting sqref="E2 C4">
    <cfRule type="expression" priority="3" dxfId="1" stopIfTrue="1">
      <formula>NOT(ISERROR(SEARCH("___",C2)))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2:M34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" sqref="C2"/>
    </sheetView>
  </sheetViews>
  <sheetFormatPr defaultColWidth="9.140625" defaultRowHeight="15"/>
  <cols>
    <col min="1" max="1" width="2.140625" style="5" customWidth="1"/>
    <col min="2" max="2" width="36.00390625" style="5" customWidth="1"/>
    <col min="3" max="3" width="12.421875" style="6" customWidth="1"/>
    <col min="4" max="4" width="9.140625" style="5" customWidth="1"/>
    <col min="5" max="6" width="2.140625" style="5" customWidth="1"/>
    <col min="7" max="10" width="9.140625" style="5" customWidth="1"/>
    <col min="11" max="11" width="9.00390625" style="5" customWidth="1"/>
    <col min="12" max="12" width="3.7109375" style="5" customWidth="1"/>
    <col min="13" max="13" width="9.140625" style="5" customWidth="1"/>
    <col min="14" max="14" width="2.140625" style="5" customWidth="1"/>
    <col min="15" max="16384" width="9.140625" style="5" customWidth="1"/>
  </cols>
  <sheetData>
    <row r="1" ht="7.5" customHeight="1"/>
    <row r="2" spans="2:9" ht="15.75">
      <c r="B2" s="7" t="s">
        <v>2</v>
      </c>
      <c r="C2" s="8">
        <v>20</v>
      </c>
      <c r="D2" s="9" t="s">
        <v>3</v>
      </c>
      <c r="G2" s="10" t="s">
        <v>4</v>
      </c>
      <c r="H2" s="11">
        <v>0</v>
      </c>
      <c r="I2" s="12">
        <f>C2</f>
        <v>20</v>
      </c>
    </row>
    <row r="3" spans="2:9" ht="15.75">
      <c r="B3" s="13" t="s">
        <v>5</v>
      </c>
      <c r="C3" s="14">
        <v>5</v>
      </c>
      <c r="D3" s="15" t="s">
        <v>6</v>
      </c>
      <c r="G3" s="10" t="s">
        <v>7</v>
      </c>
      <c r="H3" s="16">
        <f>C4</f>
        <v>0.4</v>
      </c>
      <c r="I3" s="12">
        <f>C2</f>
        <v>20</v>
      </c>
    </row>
    <row r="4" spans="2:9" ht="15.75">
      <c r="B4" s="13" t="s">
        <v>8</v>
      </c>
      <c r="C4" s="17">
        <v>0.4</v>
      </c>
      <c r="D4" s="15" t="s">
        <v>9</v>
      </c>
      <c r="G4" s="10" t="s">
        <v>10</v>
      </c>
      <c r="H4" s="11">
        <f>C4-(C2/C6)</f>
        <v>1.65</v>
      </c>
      <c r="I4" s="11">
        <v>0</v>
      </c>
    </row>
    <row r="5" spans="2:4" ht="15">
      <c r="B5" s="18" t="s">
        <v>11</v>
      </c>
      <c r="C5" s="18"/>
      <c r="D5" s="18"/>
    </row>
    <row r="6" spans="2:4" ht="16.5">
      <c r="B6" s="19" t="s">
        <v>12</v>
      </c>
      <c r="C6" s="20">
        <v>-16</v>
      </c>
      <c r="D6" s="21" t="s">
        <v>13</v>
      </c>
    </row>
    <row r="7" ht="7.5" customHeight="1"/>
    <row r="9" spans="7:13" ht="15.75">
      <c r="G9" s="22" t="s">
        <v>14</v>
      </c>
      <c r="H9" s="22"/>
      <c r="I9" s="22"/>
      <c r="J9" s="22"/>
      <c r="K9" s="22"/>
      <c r="L9" s="22"/>
      <c r="M9" s="22"/>
    </row>
    <row r="10" spans="7:13" ht="15" customHeight="1">
      <c r="G10" s="23" t="s">
        <v>15</v>
      </c>
      <c r="H10" s="23"/>
      <c r="I10" s="23"/>
      <c r="J10" s="23"/>
      <c r="K10" s="23"/>
      <c r="L10" s="23"/>
      <c r="M10" s="24">
        <f>CONCATENATE(C2*C4,"m")</f>
        <v>0</v>
      </c>
    </row>
    <row r="11" spans="7:13" ht="15">
      <c r="G11" s="25" t="s">
        <v>16</v>
      </c>
      <c r="H11" s="25"/>
      <c r="I11" s="25"/>
      <c r="J11" s="25"/>
      <c r="K11" s="25"/>
      <c r="L11" s="25"/>
      <c r="M11" s="24"/>
    </row>
    <row r="12" spans="7:13" ht="15">
      <c r="G12" s="25">
        <f>CONCATENATE("d = (",C2,")(",C4,")+(1/2)(0)(",C4,")^2")</f>
        <v>0</v>
      </c>
      <c r="H12" s="25"/>
      <c r="I12" s="25"/>
      <c r="J12" s="25"/>
      <c r="K12" s="25"/>
      <c r="L12" s="25"/>
      <c r="M12" s="24"/>
    </row>
    <row r="13" spans="7:13" ht="15">
      <c r="G13" s="25">
        <f>CONCATENATE("d = (",C2,")(",C4,")")</f>
        <v>0</v>
      </c>
      <c r="H13" s="25"/>
      <c r="I13" s="25"/>
      <c r="J13" s="25"/>
      <c r="K13" s="25"/>
      <c r="L13" s="25"/>
      <c r="M13" s="24"/>
    </row>
    <row r="14" spans="7:13" ht="15">
      <c r="G14" s="25">
        <f>CONCATENATE("d = ",C2*C4)</f>
        <v>0</v>
      </c>
      <c r="H14" s="25"/>
      <c r="I14" s="25"/>
      <c r="J14" s="25"/>
      <c r="K14" s="25"/>
      <c r="L14" s="25"/>
      <c r="M14" s="24"/>
    </row>
    <row r="16" spans="7:13" ht="15.75">
      <c r="G16" s="22" t="s">
        <v>17</v>
      </c>
      <c r="H16" s="22"/>
      <c r="I16" s="22"/>
      <c r="J16" s="22"/>
      <c r="K16" s="22"/>
      <c r="L16" s="22"/>
      <c r="M16" s="22"/>
    </row>
    <row r="17" spans="7:13" ht="15" customHeight="1">
      <c r="G17" s="23" t="s">
        <v>18</v>
      </c>
      <c r="H17" s="23"/>
      <c r="I17" s="23"/>
      <c r="J17" s="23"/>
      <c r="K17" s="23"/>
      <c r="L17" s="23"/>
      <c r="M17" s="26">
        <f>CONCATENATE(-C2/C6,"s")</f>
        <v>0</v>
      </c>
    </row>
    <row r="18" spans="7:13" ht="15">
      <c r="G18" s="25" t="s">
        <v>16</v>
      </c>
      <c r="H18" s="25"/>
      <c r="I18" s="25"/>
      <c r="J18" s="25"/>
      <c r="K18" s="25"/>
      <c r="L18" s="25"/>
      <c r="M18" s="26"/>
    </row>
    <row r="19" spans="7:13" ht="15">
      <c r="G19" s="25">
        <f>CONCATENATE("0 = (",C6,")t+(",C2,")")</f>
        <v>0</v>
      </c>
      <c r="H19" s="25"/>
      <c r="I19" s="25"/>
      <c r="J19" s="25"/>
      <c r="K19" s="25"/>
      <c r="L19" s="25"/>
      <c r="M19" s="26"/>
    </row>
    <row r="20" spans="7:13" ht="15">
      <c r="G20" s="25">
        <f>CONCATENATE(-C2," = (",C6,")t")</f>
        <v>0</v>
      </c>
      <c r="H20" s="25"/>
      <c r="I20" s="25"/>
      <c r="J20" s="25"/>
      <c r="K20" s="25"/>
      <c r="L20" s="25"/>
      <c r="M20" s="26"/>
    </row>
    <row r="21" spans="7:13" ht="15">
      <c r="G21" s="25">
        <f>CONCATENATE(-C2,"/",C6," = t")</f>
        <v>0</v>
      </c>
      <c r="H21" s="25"/>
      <c r="I21" s="25"/>
      <c r="J21" s="25"/>
      <c r="K21" s="25"/>
      <c r="L21" s="25"/>
      <c r="M21" s="26"/>
    </row>
    <row r="22" spans="7:13" ht="15">
      <c r="G22" s="25">
        <f>CONCATENATE(-C2/C6," = t")</f>
        <v>0</v>
      </c>
      <c r="H22" s="25"/>
      <c r="I22" s="25"/>
      <c r="J22" s="25"/>
      <c r="K22" s="25"/>
      <c r="L22" s="25"/>
      <c r="M22" s="26"/>
    </row>
    <row r="24" spans="7:13" ht="15.75">
      <c r="G24" s="22" t="s">
        <v>19</v>
      </c>
      <c r="H24" s="22"/>
      <c r="I24" s="22"/>
      <c r="J24" s="22"/>
      <c r="K24" s="22"/>
      <c r="L24" s="22"/>
      <c r="M24" s="22"/>
    </row>
    <row r="25" spans="7:13" ht="15" customHeight="1">
      <c r="G25" s="27" t="s">
        <v>20</v>
      </c>
      <c r="H25" s="27"/>
      <c r="I25" s="27"/>
      <c r="J25" s="27"/>
      <c r="K25" s="27"/>
      <c r="L25" s="27"/>
      <c r="M25" s="26">
        <f>CONCATENATE(-C2*C2/2/C6,"m")</f>
        <v>0</v>
      </c>
    </row>
    <row r="26" spans="7:13" ht="15">
      <c r="G26" s="25" t="s">
        <v>16</v>
      </c>
      <c r="H26" s="25"/>
      <c r="I26" s="25"/>
      <c r="J26" s="25"/>
      <c r="K26" s="25"/>
      <c r="L26" s="25"/>
      <c r="M26" s="26"/>
    </row>
    <row r="27" spans="7:13" ht="15">
      <c r="G27" s="25">
        <f>CONCATENATE("(0)^2 = (",C2,")^2 + 2(",C6,")(d)")</f>
        <v>0</v>
      </c>
      <c r="H27" s="25"/>
      <c r="I27" s="25"/>
      <c r="J27" s="25"/>
      <c r="K27" s="25"/>
      <c r="L27" s="25"/>
      <c r="M27" s="26"/>
    </row>
    <row r="28" spans="7:13" ht="15">
      <c r="G28" s="28">
        <f>CONCATENATE("0 = ",C2*C2," + 2(",C6,")(d)")</f>
        <v>0</v>
      </c>
      <c r="H28" s="28"/>
      <c r="I28" s="28"/>
      <c r="J28" s="28"/>
      <c r="K28" s="28"/>
      <c r="L28" s="28"/>
      <c r="M28" s="26"/>
    </row>
    <row r="29" spans="7:13" ht="15">
      <c r="G29" s="29">
        <f>CONCATENATE(-(C2*C2),"= ",2*C6,"(d)")</f>
        <v>0</v>
      </c>
      <c r="H29" s="29"/>
      <c r="I29" s="29"/>
      <c r="J29" s="29"/>
      <c r="K29" s="29"/>
      <c r="L29" s="29"/>
      <c r="M29" s="26"/>
    </row>
    <row r="30" spans="7:13" ht="15">
      <c r="G30" s="29">
        <f>CONCATENATE(-(C2*C2)/2/C6," = d")</f>
        <v>0</v>
      </c>
      <c r="H30" s="29"/>
      <c r="I30" s="29"/>
      <c r="J30" s="29"/>
      <c r="K30" s="29"/>
      <c r="L30" s="29"/>
      <c r="M30" s="26"/>
    </row>
    <row r="32" spans="7:13" ht="15.75">
      <c r="G32" s="22" t="s">
        <v>21</v>
      </c>
      <c r="H32" s="22"/>
      <c r="I32" s="22"/>
      <c r="J32" s="22"/>
      <c r="K32" s="22"/>
      <c r="L32" s="22"/>
      <c r="M32" s="22"/>
    </row>
    <row r="33" spans="7:13" ht="42" customHeight="1">
      <c r="G33" s="30">
        <f>IF(C3-((C2*C4)+(-C2*C2/2/C6))&lt;=0,"Goodbye Carlo!","Mabuhay!")</f>
        <v>0</v>
      </c>
      <c r="H33" s="30"/>
      <c r="I33" s="30"/>
      <c r="J33" s="30"/>
      <c r="K33" s="30"/>
      <c r="L33" s="30"/>
      <c r="M33" s="30"/>
    </row>
    <row r="34" spans="7:13" ht="15">
      <c r="G34" s="31">
        <f>CONCATENATE("by ",ABS(C3-((C2*C4)+(-C2*C2/2/C6))),"m")</f>
        <v>0</v>
      </c>
      <c r="H34" s="31"/>
      <c r="I34" s="31"/>
      <c r="J34" s="31"/>
      <c r="K34" s="31"/>
      <c r="L34" s="31"/>
      <c r="M34" s="31"/>
    </row>
  </sheetData>
  <sheetProtection password="CC7A" sheet="1" selectLockedCells="1"/>
  <mergeCells count="25">
    <mergeCell ref="B5:D5"/>
    <mergeCell ref="G9:M9"/>
    <mergeCell ref="G10:L10"/>
    <mergeCell ref="M10:M14"/>
    <mergeCell ref="G11:L11"/>
    <mergeCell ref="G12:L12"/>
    <mergeCell ref="G13:L13"/>
    <mergeCell ref="G14:L14"/>
    <mergeCell ref="G16:M16"/>
    <mergeCell ref="G17:L17"/>
    <mergeCell ref="M17:M22"/>
    <mergeCell ref="G18:L18"/>
    <mergeCell ref="G19:L19"/>
    <mergeCell ref="G20:L20"/>
    <mergeCell ref="G21:L21"/>
    <mergeCell ref="G22:L22"/>
    <mergeCell ref="G24:M24"/>
    <mergeCell ref="G25:L25"/>
    <mergeCell ref="M25:M30"/>
    <mergeCell ref="G26:L26"/>
    <mergeCell ref="G27:L27"/>
    <mergeCell ref="G28:L28"/>
    <mergeCell ref="G32:M32"/>
    <mergeCell ref="G33:M33"/>
    <mergeCell ref="G34:M34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9"/>
  </sheetPr>
  <dimension ref="B2:M34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P22" sqref="P22"/>
    </sheetView>
  </sheetViews>
  <sheetFormatPr defaultColWidth="9.140625" defaultRowHeight="15"/>
  <cols>
    <col min="1" max="1" width="2.140625" style="5" customWidth="1"/>
    <col min="2" max="2" width="36.00390625" style="5" customWidth="1"/>
    <col min="3" max="3" width="12.421875" style="6" customWidth="1"/>
    <col min="4" max="4" width="9.140625" style="5" customWidth="1"/>
    <col min="5" max="6" width="2.140625" style="5" customWidth="1"/>
    <col min="7" max="10" width="9.140625" style="5" customWidth="1"/>
    <col min="11" max="11" width="9.00390625" style="5" customWidth="1"/>
    <col min="12" max="12" width="3.7109375" style="5" customWidth="1"/>
    <col min="13" max="13" width="9.140625" style="5" customWidth="1"/>
    <col min="14" max="14" width="2.140625" style="5" customWidth="1"/>
    <col min="15" max="16384" width="9.140625" style="5" customWidth="1"/>
  </cols>
  <sheetData>
    <row r="1" ht="7.5" customHeight="1"/>
    <row r="2" spans="2:9" ht="15.75">
      <c r="B2" s="7" t="s">
        <v>247</v>
      </c>
      <c r="C2" s="330">
        <v>3000</v>
      </c>
      <c r="D2" s="9" t="s">
        <v>95</v>
      </c>
      <c r="G2" s="10"/>
      <c r="H2" s="11"/>
      <c r="I2" s="12"/>
    </row>
    <row r="3" spans="2:9" ht="15.75" customHeight="1">
      <c r="B3" s="18" t="s">
        <v>248</v>
      </c>
      <c r="C3" s="18"/>
      <c r="D3" s="18"/>
      <c r="G3" s="10"/>
      <c r="H3" s="16"/>
      <c r="I3" s="12"/>
    </row>
    <row r="4" spans="2:9" ht="15.75">
      <c r="B4" s="13" t="s">
        <v>249</v>
      </c>
      <c r="C4" s="331">
        <v>31000</v>
      </c>
      <c r="D4" s="15" t="s">
        <v>102</v>
      </c>
      <c r="G4" s="10"/>
      <c r="H4" s="11"/>
      <c r="I4" s="11"/>
    </row>
    <row r="5" spans="2:4" ht="16.5">
      <c r="B5" s="19" t="s">
        <v>250</v>
      </c>
      <c r="C5" s="20">
        <v>2</v>
      </c>
      <c r="D5" s="21" t="s">
        <v>6</v>
      </c>
    </row>
    <row r="6" ht="7.5" customHeight="1"/>
    <row r="8" spans="7:13" ht="15.75">
      <c r="G8" s="22" t="s">
        <v>251</v>
      </c>
      <c r="H8" s="22"/>
      <c r="I8" s="22"/>
      <c r="J8" s="22"/>
      <c r="K8" s="22"/>
      <c r="L8" s="22"/>
      <c r="M8" s="22"/>
    </row>
    <row r="9" spans="7:13" ht="15" customHeight="1">
      <c r="G9" s="27" t="s">
        <v>252</v>
      </c>
      <c r="H9" s="27"/>
      <c r="I9" s="27"/>
      <c r="J9" s="27"/>
      <c r="K9" s="27"/>
      <c r="L9" s="27"/>
      <c r="M9" s="332">
        <f>CONCATENATE(C4*C5,"J")</f>
        <v>0</v>
      </c>
    </row>
    <row r="10" spans="7:13" ht="15">
      <c r="G10" s="25" t="s">
        <v>16</v>
      </c>
      <c r="H10" s="25"/>
      <c r="I10" s="25"/>
      <c r="J10" s="25"/>
      <c r="K10" s="25"/>
      <c r="L10" s="25"/>
      <c r="M10" s="332"/>
    </row>
    <row r="11" spans="7:13" ht="15">
      <c r="G11" s="25">
        <f>CONCATENATE("W = (",C4,"ĵ)•(",C5,"ĵ)")</f>
        <v>0</v>
      </c>
      <c r="H11" s="25"/>
      <c r="I11" s="25"/>
      <c r="J11" s="25"/>
      <c r="K11" s="25"/>
      <c r="L11" s="25"/>
      <c r="M11" s="332"/>
    </row>
    <row r="12" spans="7:13" ht="15">
      <c r="G12" s="25">
        <f>CONCATENATE("W = (",C4,")(",C5,")(cos 0)")</f>
        <v>0</v>
      </c>
      <c r="H12" s="25"/>
      <c r="I12" s="25"/>
      <c r="J12" s="25"/>
      <c r="K12" s="25"/>
      <c r="L12" s="25"/>
      <c r="M12" s="332"/>
    </row>
    <row r="13" spans="7:13" ht="15">
      <c r="G13" s="25">
        <f>CONCATENATE("W = ",C4*C5)</f>
        <v>0</v>
      </c>
      <c r="H13" s="25"/>
      <c r="I13" s="25"/>
      <c r="J13" s="25"/>
      <c r="K13" s="25"/>
      <c r="L13" s="25"/>
      <c r="M13" s="332"/>
    </row>
    <row r="15" spans="7:13" ht="15.75">
      <c r="G15" s="22" t="s">
        <v>253</v>
      </c>
      <c r="H15" s="22"/>
      <c r="I15" s="22"/>
      <c r="J15" s="22"/>
      <c r="K15" s="22"/>
      <c r="L15" s="22"/>
      <c r="M15" s="22"/>
    </row>
    <row r="16" spans="7:13" ht="15" customHeight="1">
      <c r="G16" s="27" t="s">
        <v>254</v>
      </c>
      <c r="H16" s="27"/>
      <c r="I16" s="27"/>
      <c r="J16" s="27"/>
      <c r="K16" s="27"/>
      <c r="L16" s="27"/>
      <c r="M16" s="332">
        <f>CONCATENATE(-C2*Setup!$C$2*C5,"J")</f>
        <v>0</v>
      </c>
    </row>
    <row r="17" spans="7:13" ht="15">
      <c r="G17" s="25" t="s">
        <v>16</v>
      </c>
      <c r="H17" s="25"/>
      <c r="I17" s="25"/>
      <c r="J17" s="25"/>
      <c r="K17" s="25"/>
      <c r="L17" s="25"/>
      <c r="M17" s="332"/>
    </row>
    <row r="18" spans="7:13" ht="15">
      <c r="G18" s="25">
        <f>CONCATENATE("W = [","(",C2,")(",Setup!$C$2,")ĵ]•(",C5,"ĵ)")</f>
        <v>0</v>
      </c>
      <c r="H18" s="25"/>
      <c r="I18" s="25"/>
      <c r="J18" s="25"/>
      <c r="K18" s="25"/>
      <c r="L18" s="25"/>
      <c r="M18" s="332"/>
    </row>
    <row r="19" spans="7:13" ht="15">
      <c r="G19" s="25">
        <f>CONCATENATE("W = (-",C2*Setup!$C$2,")ĵ]•(",C5,"ĵ)")</f>
        <v>0</v>
      </c>
      <c r="H19" s="25"/>
      <c r="I19" s="25"/>
      <c r="J19" s="25"/>
      <c r="K19" s="25"/>
      <c r="L19" s="25"/>
      <c r="M19" s="332"/>
    </row>
    <row r="20" spans="7:13" ht="15">
      <c r="G20" s="333">
        <f>CONCATENATE("W = (",C2*Setup!$C$2,")](",C5,")(cos 90)")</f>
        <v>0</v>
      </c>
      <c r="H20" s="333"/>
      <c r="I20" s="333"/>
      <c r="J20" s="333"/>
      <c r="K20" s="333"/>
      <c r="L20" s="333"/>
      <c r="M20" s="332"/>
    </row>
    <row r="21" spans="7:13" ht="15">
      <c r="G21" s="25">
        <f>CONCATENATE("W = ",-C2*Setup!$C$2*C5)</f>
        <v>0</v>
      </c>
      <c r="H21" s="25"/>
      <c r="I21" s="25"/>
      <c r="J21" s="25"/>
      <c r="K21" s="25"/>
      <c r="L21" s="25"/>
      <c r="M21" s="332"/>
    </row>
    <row r="23" spans="7:13" ht="15.75">
      <c r="G23" s="22" t="s">
        <v>255</v>
      </c>
      <c r="H23" s="22"/>
      <c r="I23" s="22"/>
      <c r="J23" s="22"/>
      <c r="K23" s="22"/>
      <c r="L23" s="22"/>
      <c r="M23" s="22"/>
    </row>
    <row r="24" spans="7:13" ht="18">
      <c r="G24" s="27" t="s">
        <v>256</v>
      </c>
      <c r="H24" s="27"/>
      <c r="I24" s="27"/>
      <c r="J24" s="27"/>
      <c r="K24" s="27"/>
      <c r="L24" s="27"/>
      <c r="M24" s="332">
        <f>CONCATENATE(C4*C5-C2*Setup!$C$2*C5,"J")</f>
        <v>0</v>
      </c>
    </row>
    <row r="25" spans="7:13" ht="15">
      <c r="G25" s="25" t="s">
        <v>16</v>
      </c>
      <c r="H25" s="25"/>
      <c r="I25" s="25"/>
      <c r="J25" s="25"/>
      <c r="K25" s="25"/>
      <c r="L25" s="25"/>
      <c r="M25" s="332"/>
    </row>
    <row r="26" spans="7:13" ht="15" customHeight="1">
      <c r="G26" s="25">
        <f>CONCATENATE("W = ",C4*C5," - ",C2*Setup!$C$2*C5)</f>
        <v>0</v>
      </c>
      <c r="H26" s="25"/>
      <c r="I26" s="25"/>
      <c r="J26" s="25"/>
      <c r="K26" s="25"/>
      <c r="L26" s="25"/>
      <c r="M26" s="332"/>
    </row>
    <row r="27" spans="7:13" ht="15">
      <c r="G27" s="25">
        <f>CONCATENATE("W = ",C4*C5-C2*Setup!$C$2*C5)</f>
        <v>0</v>
      </c>
      <c r="H27" s="25"/>
      <c r="I27" s="25"/>
      <c r="J27" s="25"/>
      <c r="K27" s="25"/>
      <c r="L27" s="25"/>
      <c r="M27" s="332"/>
    </row>
    <row r="29" spans="7:13" ht="30.75" customHeight="1">
      <c r="G29" s="334" t="s">
        <v>257</v>
      </c>
      <c r="H29" s="334"/>
      <c r="I29" s="334"/>
      <c r="J29" s="334"/>
      <c r="K29" s="334"/>
      <c r="L29" s="334"/>
      <c r="M29" s="334"/>
    </row>
    <row r="30" spans="7:13" ht="18">
      <c r="G30" s="27" t="s">
        <v>258</v>
      </c>
      <c r="H30" s="27"/>
      <c r="I30" s="27"/>
      <c r="J30" s="27"/>
      <c r="K30" s="27"/>
      <c r="L30" s="27"/>
      <c r="M30" s="332">
        <f>CONCATENATE(ROUND((C4*C5-C2*Setup!$C$2*C5)/(0.5*C2),2),"m/s")</f>
        <v>0</v>
      </c>
    </row>
    <row r="31" spans="7:13" ht="15">
      <c r="G31" s="25" t="s">
        <v>16</v>
      </c>
      <c r="H31" s="25"/>
      <c r="I31" s="25"/>
      <c r="J31" s="25"/>
      <c r="K31" s="25"/>
      <c r="L31" s="25"/>
      <c r="M31" s="332"/>
    </row>
    <row r="32" spans="7:13" ht="15">
      <c r="G32" s="25">
        <f>CONCATENATE(C4*C5-C2*Setup!$C$2*C5," = (1/2)(",C2,")(vf) - (1/2)(",C2,")(",0,")")</f>
        <v>0</v>
      </c>
      <c r="H32" s="25"/>
      <c r="I32" s="25"/>
      <c r="J32" s="25"/>
      <c r="K32" s="25"/>
      <c r="L32" s="25"/>
      <c r="M32" s="332"/>
    </row>
    <row r="33" spans="7:13" ht="15">
      <c r="G33" s="25">
        <f>CONCATENATE(C4*C5-C2*Setup!$C$2*C5," = (",0.5*C2,")(vf)")</f>
        <v>0</v>
      </c>
      <c r="H33" s="25"/>
      <c r="I33" s="25"/>
      <c r="J33" s="25"/>
      <c r="K33" s="25"/>
      <c r="L33" s="25"/>
      <c r="M33" s="332"/>
    </row>
    <row r="34" spans="7:13" ht="15">
      <c r="G34" s="25">
        <f>CONCATENATE((C4*C5-C2*Setup!$C$2*C5)/(0.5*C2)," = vf")</f>
        <v>0</v>
      </c>
      <c r="H34" s="25"/>
      <c r="I34" s="25"/>
      <c r="J34" s="25"/>
      <c r="K34" s="25"/>
      <c r="L34" s="25"/>
      <c r="M34" s="332"/>
    </row>
  </sheetData>
  <sheetProtection password="CC7A" sheet="1"/>
  <mergeCells count="28">
    <mergeCell ref="B3:D3"/>
    <mergeCell ref="G8:M8"/>
    <mergeCell ref="G9:L9"/>
    <mergeCell ref="M9:M13"/>
    <mergeCell ref="G10:L10"/>
    <mergeCell ref="G11:L11"/>
    <mergeCell ref="G12:L12"/>
    <mergeCell ref="G13:L13"/>
    <mergeCell ref="G15:M15"/>
    <mergeCell ref="G16:L16"/>
    <mergeCell ref="M16:M21"/>
    <mergeCell ref="G17:L17"/>
    <mergeCell ref="G18:L18"/>
    <mergeCell ref="G19:L19"/>
    <mergeCell ref="G21:L21"/>
    <mergeCell ref="G23:M23"/>
    <mergeCell ref="G24:L24"/>
    <mergeCell ref="M24:M27"/>
    <mergeCell ref="G25:L25"/>
    <mergeCell ref="G26:L26"/>
    <mergeCell ref="G27:L27"/>
    <mergeCell ref="G29:M29"/>
    <mergeCell ref="G30:L30"/>
    <mergeCell ref="M30:M34"/>
    <mergeCell ref="G31:L31"/>
    <mergeCell ref="G32:L32"/>
    <mergeCell ref="G33:L33"/>
    <mergeCell ref="G34:L3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9"/>
  </sheetPr>
  <dimension ref="B2:M21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43" sqref="G43"/>
    </sheetView>
  </sheetViews>
  <sheetFormatPr defaultColWidth="9.140625" defaultRowHeight="15"/>
  <cols>
    <col min="1" max="1" width="2.140625" style="5" customWidth="1"/>
    <col min="2" max="2" width="36.00390625" style="5" customWidth="1"/>
    <col min="3" max="3" width="12.421875" style="6" customWidth="1"/>
    <col min="4" max="4" width="9.140625" style="5" customWidth="1"/>
    <col min="5" max="6" width="2.140625" style="5" customWidth="1"/>
    <col min="7" max="10" width="9.140625" style="5" customWidth="1"/>
    <col min="11" max="11" width="9.00390625" style="5" customWidth="1"/>
    <col min="12" max="12" width="3.7109375" style="5" customWidth="1"/>
    <col min="13" max="13" width="9.140625" style="5" customWidth="1"/>
    <col min="14" max="14" width="2.140625" style="5" customWidth="1"/>
    <col min="15" max="16384" width="9.140625" style="5" customWidth="1"/>
  </cols>
  <sheetData>
    <row r="1" ht="7.5" customHeight="1"/>
    <row r="2" spans="2:9" ht="15.75">
      <c r="B2" s="7" t="s">
        <v>79</v>
      </c>
      <c r="C2" s="330">
        <v>4</v>
      </c>
      <c r="D2" s="9" t="s">
        <v>95</v>
      </c>
      <c r="G2" s="10"/>
      <c r="H2" s="11"/>
      <c r="I2" s="12"/>
    </row>
    <row r="3" spans="2:9" ht="15.75" customHeight="1">
      <c r="B3" s="18" t="s">
        <v>259</v>
      </c>
      <c r="C3" s="18"/>
      <c r="D3" s="18"/>
      <c r="G3" s="10"/>
      <c r="H3" s="16"/>
      <c r="I3" s="12"/>
    </row>
    <row r="4" spans="2:9" ht="15.75">
      <c r="B4" s="13" t="s">
        <v>260</v>
      </c>
      <c r="C4" s="331">
        <v>100</v>
      </c>
      <c r="D4" s="15" t="s">
        <v>261</v>
      </c>
      <c r="G4" s="10"/>
      <c r="H4" s="11"/>
      <c r="I4" s="11"/>
    </row>
    <row r="5" spans="2:9" ht="15">
      <c r="B5" s="18" t="s">
        <v>262</v>
      </c>
      <c r="C5" s="18"/>
      <c r="D5" s="18"/>
      <c r="G5" s="10"/>
      <c r="H5" s="11"/>
      <c r="I5" s="11"/>
    </row>
    <row r="6" spans="2:9" ht="18">
      <c r="B6" s="13" t="s">
        <v>263</v>
      </c>
      <c r="C6" s="331">
        <v>-5</v>
      </c>
      <c r="D6" s="15" t="s">
        <v>264</v>
      </c>
      <c r="G6" s="10"/>
      <c r="H6" s="11"/>
      <c r="I6" s="11"/>
    </row>
    <row r="7" spans="2:4" ht="15.75">
      <c r="B7" s="335" t="s">
        <v>265</v>
      </c>
      <c r="C7" s="335"/>
      <c r="D7" s="335"/>
    </row>
    <row r="8" ht="7.5" customHeight="1"/>
    <row r="10" spans="7:13" ht="33.75" customHeight="1">
      <c r="G10" s="334" t="s">
        <v>266</v>
      </c>
      <c r="H10" s="334"/>
      <c r="I10" s="334"/>
      <c r="J10" s="334"/>
      <c r="K10" s="334"/>
      <c r="L10" s="334"/>
      <c r="M10" s="334"/>
    </row>
    <row r="11" spans="7:13" ht="15" customHeight="1">
      <c r="G11" s="27" t="s">
        <v>267</v>
      </c>
      <c r="H11" s="27"/>
      <c r="I11" s="27"/>
      <c r="J11" s="27"/>
      <c r="K11" s="27"/>
      <c r="L11" s="27"/>
      <c r="M11" s="332">
        <f>CONCATENATE(C4*C6*C6,"J")</f>
        <v>0</v>
      </c>
    </row>
    <row r="12" spans="7:13" ht="15">
      <c r="G12" s="25" t="s">
        <v>16</v>
      </c>
      <c r="H12" s="25"/>
      <c r="I12" s="25"/>
      <c r="J12" s="25"/>
      <c r="K12" s="25"/>
      <c r="L12" s="25"/>
      <c r="M12" s="332"/>
    </row>
    <row r="13" spans="7:13" ht="15">
      <c r="G13" s="25">
        <f>CONCATENATE("W = (",C4,")(",-C6,"î) • (",-C6,"î)")</f>
        <v>0</v>
      </c>
      <c r="H13" s="25"/>
      <c r="I13" s="25"/>
      <c r="J13" s="25"/>
      <c r="K13" s="25"/>
      <c r="L13" s="25"/>
      <c r="M13" s="332"/>
    </row>
    <row r="14" spans="7:13" ht="15">
      <c r="G14" s="25">
        <f>CONCATENATE("W = ",C4*C6*C6)</f>
        <v>0</v>
      </c>
      <c r="H14" s="25"/>
      <c r="I14" s="25"/>
      <c r="J14" s="25"/>
      <c r="K14" s="25"/>
      <c r="L14" s="25"/>
      <c r="M14" s="332"/>
    </row>
    <row r="16" spans="7:13" ht="17.25">
      <c r="G16" s="22" t="s">
        <v>268</v>
      </c>
      <c r="H16" s="22"/>
      <c r="I16" s="22"/>
      <c r="J16" s="22"/>
      <c r="K16" s="22"/>
      <c r="L16" s="22"/>
      <c r="M16" s="22"/>
    </row>
    <row r="17" spans="7:13" ht="18">
      <c r="G17" s="27" t="s">
        <v>269</v>
      </c>
      <c r="H17" s="27"/>
      <c r="I17" s="27"/>
      <c r="J17" s="27"/>
      <c r="K17" s="27"/>
      <c r="L17" s="27"/>
      <c r="M17" s="332">
        <f>CONCATENATE(ROUND(SQRT(C4*C6*C6*2/C2),2),"J")</f>
        <v>0</v>
      </c>
    </row>
    <row r="18" spans="7:13" ht="15">
      <c r="G18" s="25" t="s">
        <v>16</v>
      </c>
      <c r="H18" s="25"/>
      <c r="I18" s="25"/>
      <c r="J18" s="25"/>
      <c r="K18" s="25"/>
      <c r="L18" s="25"/>
      <c r="M18" s="332"/>
    </row>
    <row r="19" spans="7:13" ht="15" customHeight="1">
      <c r="G19" s="25">
        <f>CONCATENATE(C4*C6*C6," = (1/2)(",C2,")(vf)^2 - (1/2)(",C2,")(0)")</f>
        <v>0</v>
      </c>
      <c r="H19" s="25"/>
      <c r="I19" s="25"/>
      <c r="J19" s="25"/>
      <c r="K19" s="25"/>
      <c r="L19" s="25"/>
      <c r="M19" s="332"/>
    </row>
    <row r="20" spans="7:13" ht="15" customHeight="1">
      <c r="G20" s="333">
        <f>CONCATENATE(C4*C6*C6*2/C2," = ","vf^2")</f>
        <v>0</v>
      </c>
      <c r="H20" s="333"/>
      <c r="I20" s="333"/>
      <c r="J20" s="333"/>
      <c r="K20" s="333"/>
      <c r="L20" s="333"/>
      <c r="M20" s="332"/>
    </row>
    <row r="21" spans="7:13" ht="15">
      <c r="G21" s="25">
        <f>CONCATENATE(SQRT(C4*C6*C6*2/C2)," = ","vf")</f>
        <v>0</v>
      </c>
      <c r="H21" s="25"/>
      <c r="I21" s="25"/>
      <c r="J21" s="25"/>
      <c r="K21" s="25"/>
      <c r="L21" s="25"/>
      <c r="M21" s="332"/>
    </row>
  </sheetData>
  <sheetProtection password="CC7A" sheet="1"/>
  <mergeCells count="15">
    <mergeCell ref="B3:D3"/>
    <mergeCell ref="B5:D5"/>
    <mergeCell ref="B7:D7"/>
    <mergeCell ref="G10:M10"/>
    <mergeCell ref="G11:L11"/>
    <mergeCell ref="M11:M14"/>
    <mergeCell ref="G12:L12"/>
    <mergeCell ref="G13:L13"/>
    <mergeCell ref="G14:L14"/>
    <mergeCell ref="G16:M16"/>
    <mergeCell ref="G17:L17"/>
    <mergeCell ref="M17:M21"/>
    <mergeCell ref="G18:L18"/>
    <mergeCell ref="G19:L19"/>
    <mergeCell ref="G21:L21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K15"/>
  <sheetViews>
    <sheetView workbookViewId="0" topLeftCell="A1">
      <selection activeCell="E2" sqref="E2"/>
    </sheetView>
  </sheetViews>
  <sheetFormatPr defaultColWidth="9.140625" defaultRowHeight="15"/>
  <cols>
    <col min="1" max="1" width="2.140625" style="32" customWidth="1"/>
    <col min="2" max="5" width="9.140625" style="32" customWidth="1"/>
    <col min="6" max="7" width="2.140625" style="32" customWidth="1"/>
    <col min="8" max="8" width="63.8515625" style="32" customWidth="1"/>
    <col min="9" max="16384" width="9.140625" style="32" customWidth="1"/>
  </cols>
  <sheetData>
    <row r="1" ht="7.5" customHeight="1"/>
    <row r="2" spans="2:11" ht="15" customHeight="1">
      <c r="B2" s="33"/>
      <c r="C2" s="34" t="s">
        <v>22</v>
      </c>
      <c r="D2" s="35" t="s">
        <v>23</v>
      </c>
      <c r="E2" s="36" t="s">
        <v>24</v>
      </c>
      <c r="H2" s="37" t="s">
        <v>25</v>
      </c>
      <c r="K2" s="38"/>
    </row>
    <row r="3" spans="2:11" ht="15" customHeight="1">
      <c r="B3" s="33"/>
      <c r="C3" s="34"/>
      <c r="D3" s="35"/>
      <c r="E3" s="36" t="s">
        <v>26</v>
      </c>
      <c r="H3" s="39">
        <f>CONCATENATE("d[car] = (",C4,")t+(1/2)(",D4,")t^2")</f>
        <v>0</v>
      </c>
      <c r="K3" s="38"/>
    </row>
    <row r="4" spans="2:8" ht="15">
      <c r="B4" s="40" t="s">
        <v>27</v>
      </c>
      <c r="C4" s="41">
        <v>0</v>
      </c>
      <c r="D4" s="42">
        <v>4</v>
      </c>
      <c r="E4" s="43">
        <f>(-(C5-C4)-SQRT(((C5-C4)*(C5-C4))-(4*((D5-D4)/2)*-D7)))/(2*((D5-D4)/2))*C4+0.5*D4*(-(C5-C4)-SQRT(((C5-C4)*(C5-C4))-(4*((D5-D4)/2)*-D7)))/(2*((D5-D4)/2))*(-(C5-C4)-SQRT(((C5-C4)*(C5-C4))-(4*((D5-D4)/2)*-D7)))/(2*((D5-D4)/2))</f>
        <v>162</v>
      </c>
      <c r="H4" s="39">
        <f>CONCATENATE("d[car] = ",C4,"t+",D4/2,"t^2")</f>
        <v>0</v>
      </c>
    </row>
    <row r="5" spans="2:8" ht="15.75">
      <c r="B5" s="44" t="s">
        <v>28</v>
      </c>
      <c r="C5" s="45">
        <v>12</v>
      </c>
      <c r="D5" s="46">
        <v>0</v>
      </c>
      <c r="E5" s="43">
        <f>(-(C5-C4)-SQRT(((C5-C4)*(C5-C4))-(4*((D5-D4)/2)*-D7)))/(2*((D5-D4)/2))*C5+0.5*D5*(-(C5-C4)-SQRT(((C5-C4)*(C5-C4))-(4*((D5-D4)/2)*-D7)))/(2*((D5-D4)/2))*(-(C5-C4)-SQRT(((C5-C4)*(C5-C4))-(4*((D5-D4)/2)*-D7)))/(2*((D5-D4)/2))</f>
        <v>108</v>
      </c>
      <c r="H5" s="47" t="s">
        <v>29</v>
      </c>
    </row>
    <row r="6" spans="2:8" ht="15.75">
      <c r="B6" s="48"/>
      <c r="C6" s="48"/>
      <c r="D6" s="48"/>
      <c r="E6" s="49"/>
      <c r="H6" s="39">
        <f>CONCATENATE("d[truck] = (",C5,")t+(1/2)(",D5,")t^2")</f>
        <v>0</v>
      </c>
    </row>
    <row r="7" spans="2:8" ht="15.75">
      <c r="B7" s="50" t="s">
        <v>30</v>
      </c>
      <c r="C7" s="50"/>
      <c r="D7" s="51">
        <v>-54</v>
      </c>
      <c r="E7" s="52" t="s">
        <v>6</v>
      </c>
      <c r="H7" s="53">
        <f>CONCATENATE("d[truck] = ",C5,"t+",D5/2,"t^2")</f>
        <v>0</v>
      </c>
    </row>
    <row r="8" ht="7.5" customHeight="1">
      <c r="H8" s="54"/>
    </row>
    <row r="9" ht="15.75">
      <c r="H9" s="54"/>
    </row>
    <row r="10" ht="15">
      <c r="H10" s="55">
        <f>CONCATENATE("d[truck] - d[car] = ",D7)</f>
        <v>0</v>
      </c>
    </row>
    <row r="11" spans="3:8" ht="15">
      <c r="C11" s="38"/>
      <c r="H11" s="39">
        <f>CONCATENATE("(",C5,"t+",D5/2,"t^2",") - (",C4,"t+",D4/2,"t^2) = ",D7)</f>
        <v>0</v>
      </c>
    </row>
    <row r="12" ht="15">
      <c r="H12" s="39">
        <f>CONCATENATE((D5-D4)/2,"t^2 + ",C5-C4,"t = ",D7)</f>
        <v>0</v>
      </c>
    </row>
    <row r="13" ht="15">
      <c r="H13" s="39">
        <f>CONCATENATE((D5-D4)/2,"t^2 + ",C5-C4,"t - ",D7," = 0",)</f>
        <v>0</v>
      </c>
    </row>
    <row r="14" ht="15">
      <c r="H14" s="56">
        <f>CONCATENATE("(x + ",ABS((-(C5-C4)+SQRT(((C5-C4)*(C5-C4))-(4*((D5-D4)/2)*-D7)))/(2*((D5-D4)/2))),")(x - ",(-(C5-C4)-SQRT(((C5-C4)*(C5-C4))-(4*((D5-D4)/2)*-D7)))/(2*((D5-D4)/2)),")")</f>
        <v>0</v>
      </c>
    </row>
    <row r="15" ht="34.5">
      <c r="H15" s="57">
        <f>CONCATENATE((-(C5-C4)-SQRT(((C5-C4)*(C5-C4))-(4*((D5-D4)/2)*-D7)))/(2*((D5-D4)/2)),"s")</f>
        <v>0</v>
      </c>
    </row>
  </sheetData>
  <sheetProtection password="CC7A" sheet="1" selectLockedCells="1"/>
  <mergeCells count="5">
    <mergeCell ref="B2:B3"/>
    <mergeCell ref="C2:C3"/>
    <mergeCell ref="D2:D3"/>
    <mergeCell ref="B6:D6"/>
    <mergeCell ref="B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1:M107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2" sqref="C2"/>
    </sheetView>
  </sheetViews>
  <sheetFormatPr defaultColWidth="9.140625" defaultRowHeight="15"/>
  <cols>
    <col min="1" max="1" width="2.140625" style="58" customWidth="1"/>
    <col min="2" max="2" width="25.140625" style="58" customWidth="1"/>
    <col min="3" max="4" width="9.140625" style="58" customWidth="1"/>
    <col min="5" max="6" width="2.140625" style="58" customWidth="1"/>
    <col min="7" max="8" width="16.00390625" style="59" customWidth="1"/>
    <col min="9" max="9" width="2.140625" style="58" customWidth="1"/>
    <col min="10" max="10" width="8.57421875" style="60" customWidth="1"/>
    <col min="11" max="11" width="2.140625" style="58" customWidth="1"/>
    <col min="12" max="13" width="16.00390625" style="61" customWidth="1"/>
    <col min="14" max="16384" width="9.140625" style="58" customWidth="1"/>
  </cols>
  <sheetData>
    <row r="1" s="58" customFormat="1" ht="7.5" customHeight="1">
      <c r="J1" s="60"/>
    </row>
    <row r="2" spans="2:13" ht="51" customHeight="1">
      <c r="B2" s="62" t="s">
        <v>31</v>
      </c>
      <c r="C2" s="63">
        <v>0</v>
      </c>
      <c r="D2" s="64" t="s">
        <v>9</v>
      </c>
      <c r="G2" s="65" t="s">
        <v>32</v>
      </c>
      <c r="H2" s="66">
        <v>0</v>
      </c>
      <c r="L2" s="65" t="s">
        <v>32</v>
      </c>
      <c r="M2" s="66">
        <v>0</v>
      </c>
    </row>
    <row r="3" s="58" customFormat="1" ht="7.5" customHeight="1">
      <c r="J3" s="60"/>
    </row>
    <row r="4" s="58" customFormat="1" ht="7.5" customHeight="1">
      <c r="J4" s="60"/>
    </row>
    <row r="5" spans="7:13" ht="15">
      <c r="G5" s="67" t="s">
        <v>33</v>
      </c>
      <c r="H5" s="67"/>
      <c r="J5" s="68" t="s">
        <v>34</v>
      </c>
      <c r="L5" s="67" t="s">
        <v>35</v>
      </c>
      <c r="M5" s="67"/>
    </row>
    <row r="6" spans="7:13" ht="15">
      <c r="G6" s="69" t="s">
        <v>36</v>
      </c>
      <c r="H6" s="69" t="s">
        <v>37</v>
      </c>
      <c r="J6" s="68"/>
      <c r="L6" s="69" t="s">
        <v>36</v>
      </c>
      <c r="M6" s="69" t="s">
        <v>37</v>
      </c>
    </row>
    <row r="7" spans="7:13" ht="15">
      <c r="G7" s="60">
        <f>J7*Setup!$C$2+$H$2</f>
        <v>0</v>
      </c>
      <c r="H7" s="60">
        <f aca="true" t="shared" si="0" ref="H7:H107">AVERAGE(G6:G7)</f>
        <v>0</v>
      </c>
      <c r="J7" s="60">
        <v>0</v>
      </c>
      <c r="L7" s="60">
        <f>IF(((J7-$C$2)*Setup!$C$2)+$M$2&lt;=0,0,((J7-$C$2)*Setup!$C$2)+$M$2)</f>
        <v>0</v>
      </c>
      <c r="M7" s="60">
        <f aca="true" t="shared" si="1" ref="M7:M107">AVERAGE(L6:L7)</f>
        <v>0</v>
      </c>
    </row>
    <row r="8" spans="7:13" ht="15">
      <c r="G8" s="60">
        <f>J8*Setup!$C$2+$H$2</f>
        <v>9.81</v>
      </c>
      <c r="H8" s="60">
        <f t="shared" si="0"/>
        <v>4.905</v>
      </c>
      <c r="J8" s="60">
        <v>1</v>
      </c>
      <c r="L8" s="60">
        <f>IF(((J8-$C$2)*Setup!$C$2)+$M$2&lt;=0,0,((J8-$C$2)*Setup!$C$2)+$M$2)</f>
        <v>9.81</v>
      </c>
      <c r="M8" s="60">
        <f t="shared" si="1"/>
        <v>4.905</v>
      </c>
    </row>
    <row r="9" spans="7:13" ht="15">
      <c r="G9" s="60">
        <f>J9*Setup!$C$2+$H$2</f>
        <v>19.62</v>
      </c>
      <c r="H9" s="60">
        <f t="shared" si="0"/>
        <v>14.715</v>
      </c>
      <c r="J9" s="60">
        <v>2</v>
      </c>
      <c r="L9" s="60">
        <f>IF(((J9-$C$2)*Setup!$C$2)+$M$2&lt;=0,0,((J9-$C$2)*Setup!$C$2)+$M$2)</f>
        <v>19.62</v>
      </c>
      <c r="M9" s="60">
        <f t="shared" si="1"/>
        <v>14.715</v>
      </c>
    </row>
    <row r="10" spans="7:13" ht="15">
      <c r="G10" s="60">
        <f>J10*Setup!$C$2+$H$2</f>
        <v>29.43</v>
      </c>
      <c r="H10" s="60">
        <f t="shared" si="0"/>
        <v>24.525</v>
      </c>
      <c r="J10" s="60">
        <v>3</v>
      </c>
      <c r="L10" s="60">
        <f>IF(((J10-$C$2)*Setup!$C$2)+$M$2&lt;=0,0,((J10-$C$2)*Setup!$C$2)+$M$2)</f>
        <v>29.43</v>
      </c>
      <c r="M10" s="60">
        <f t="shared" si="1"/>
        <v>24.525</v>
      </c>
    </row>
    <row r="11" spans="7:13" ht="15">
      <c r="G11" s="60">
        <f>J11*Setup!$C$2+$H$2</f>
        <v>39.24</v>
      </c>
      <c r="H11" s="60">
        <f t="shared" si="0"/>
        <v>34.335</v>
      </c>
      <c r="J11" s="60">
        <v>4</v>
      </c>
      <c r="L11" s="60">
        <f>IF(((J11-$C$2)*Setup!$C$2)+$M$2&lt;=0,0,((J11-$C$2)*Setup!$C$2)+$M$2)</f>
        <v>39.24</v>
      </c>
      <c r="M11" s="60">
        <f t="shared" si="1"/>
        <v>34.335</v>
      </c>
    </row>
    <row r="12" spans="7:13" ht="15">
      <c r="G12" s="60">
        <f>J12*Setup!$C$2+$H$2</f>
        <v>49.050000000000004</v>
      </c>
      <c r="H12" s="60">
        <f t="shared" si="0"/>
        <v>44.145</v>
      </c>
      <c r="J12" s="60">
        <v>5</v>
      </c>
      <c r="L12" s="60">
        <f>IF(((J12-$C$2)*Setup!$C$2)+$M$2&lt;=0,0,((J12-$C$2)*Setup!$C$2)+$M$2)</f>
        <v>49.050000000000004</v>
      </c>
      <c r="M12" s="60">
        <f t="shared" si="1"/>
        <v>44.145</v>
      </c>
    </row>
    <row r="13" spans="7:13" ht="15">
      <c r="G13" s="60">
        <f>J13*Setup!$C$2+$H$2</f>
        <v>58.86</v>
      </c>
      <c r="H13" s="60">
        <f t="shared" si="0"/>
        <v>53.955</v>
      </c>
      <c r="J13" s="60">
        <v>6</v>
      </c>
      <c r="L13" s="60">
        <f>IF(((J13-$C$2)*Setup!$C$2)+$M$2&lt;=0,0,((J13-$C$2)*Setup!$C$2)+$M$2)</f>
        <v>58.86</v>
      </c>
      <c r="M13" s="60">
        <f t="shared" si="1"/>
        <v>53.955</v>
      </c>
    </row>
    <row r="14" spans="7:13" ht="15">
      <c r="G14" s="60">
        <f>J14*Setup!$C$2+$H$2</f>
        <v>68.67</v>
      </c>
      <c r="H14" s="60">
        <f t="shared" si="0"/>
        <v>63.765</v>
      </c>
      <c r="J14" s="60">
        <v>7</v>
      </c>
      <c r="L14" s="60">
        <f>IF(((J14-$C$2)*Setup!$C$2)+$M$2&lt;=0,0,((J14-$C$2)*Setup!$C$2)+$M$2)</f>
        <v>68.67</v>
      </c>
      <c r="M14" s="60">
        <f t="shared" si="1"/>
        <v>63.765</v>
      </c>
    </row>
    <row r="15" spans="7:13" ht="15">
      <c r="G15" s="60">
        <f>J15*Setup!$C$2+$H$2</f>
        <v>78.48</v>
      </c>
      <c r="H15" s="60">
        <f t="shared" si="0"/>
        <v>73.575</v>
      </c>
      <c r="J15" s="60">
        <v>8</v>
      </c>
      <c r="L15" s="60">
        <f>IF(((J15-$C$2)*Setup!$C$2)+$M$2&lt;=0,0,((J15-$C$2)*Setup!$C$2)+$M$2)</f>
        <v>78.48</v>
      </c>
      <c r="M15" s="60">
        <f t="shared" si="1"/>
        <v>73.575</v>
      </c>
    </row>
    <row r="16" spans="7:13" ht="15">
      <c r="G16" s="60">
        <f>J16*Setup!$C$2+$H$2</f>
        <v>88.29</v>
      </c>
      <c r="H16" s="60">
        <f t="shared" si="0"/>
        <v>83.385</v>
      </c>
      <c r="J16" s="60">
        <v>9</v>
      </c>
      <c r="L16" s="60">
        <f>IF(((J16-$C$2)*Setup!$C$2)+$M$2&lt;=0,0,((J16-$C$2)*Setup!$C$2)+$M$2)</f>
        <v>88.29</v>
      </c>
      <c r="M16" s="60">
        <f t="shared" si="1"/>
        <v>83.385</v>
      </c>
    </row>
    <row r="17" spans="7:13" ht="15">
      <c r="G17" s="60">
        <f>J17*Setup!$C$2+$H$2</f>
        <v>98.10000000000001</v>
      </c>
      <c r="H17" s="60">
        <f t="shared" si="0"/>
        <v>93.19500000000001</v>
      </c>
      <c r="J17" s="60">
        <v>10</v>
      </c>
      <c r="L17" s="60">
        <f>IF(((J17-$C$2)*Setup!$C$2)+$M$2&lt;=0,0,((J17-$C$2)*Setup!$C$2)+$M$2)</f>
        <v>98.10000000000001</v>
      </c>
      <c r="M17" s="60">
        <f t="shared" si="1"/>
        <v>93.19500000000001</v>
      </c>
    </row>
    <row r="18" spans="7:13" ht="15">
      <c r="G18" s="60">
        <f>J18*Setup!$C$2+$H$2</f>
        <v>107.91000000000001</v>
      </c>
      <c r="H18" s="60">
        <f t="shared" si="0"/>
        <v>103.00500000000001</v>
      </c>
      <c r="J18" s="60">
        <v>11</v>
      </c>
      <c r="L18" s="60">
        <f>IF(((J18-$C$2)*Setup!$C$2)+$M$2&lt;=0,0,((J18-$C$2)*Setup!$C$2)+$M$2)</f>
        <v>107.91000000000001</v>
      </c>
      <c r="M18" s="60">
        <f t="shared" si="1"/>
        <v>103.00500000000001</v>
      </c>
    </row>
    <row r="19" spans="7:13" ht="15">
      <c r="G19" s="60">
        <f>J19*Setup!$C$2+$H$2</f>
        <v>117.72</v>
      </c>
      <c r="H19" s="60">
        <f t="shared" si="0"/>
        <v>112.815</v>
      </c>
      <c r="J19" s="60">
        <v>12</v>
      </c>
      <c r="L19" s="60">
        <f>IF(((J19-$C$2)*Setup!$C$2)+$M$2&lt;=0,0,((J19-$C$2)*Setup!$C$2)+$M$2)</f>
        <v>117.72</v>
      </c>
      <c r="M19" s="60">
        <f t="shared" si="1"/>
        <v>112.815</v>
      </c>
    </row>
    <row r="20" spans="7:13" ht="15">
      <c r="G20" s="60">
        <f>J20*Setup!$C$2+$H$2</f>
        <v>127.53</v>
      </c>
      <c r="H20" s="60">
        <f t="shared" si="0"/>
        <v>122.625</v>
      </c>
      <c r="J20" s="60">
        <v>13</v>
      </c>
      <c r="L20" s="60">
        <f>IF(((J20-$C$2)*Setup!$C$2)+$M$2&lt;=0,0,((J20-$C$2)*Setup!$C$2)+$M$2)</f>
        <v>127.53</v>
      </c>
      <c r="M20" s="60">
        <f t="shared" si="1"/>
        <v>122.625</v>
      </c>
    </row>
    <row r="21" spans="7:13" ht="15">
      <c r="G21" s="60">
        <f>J21*Setup!$C$2+$H$2</f>
        <v>137.34</v>
      </c>
      <c r="H21" s="60">
        <f t="shared" si="0"/>
        <v>132.435</v>
      </c>
      <c r="J21" s="60">
        <v>14</v>
      </c>
      <c r="L21" s="60">
        <f>IF(((J21-$C$2)*Setup!$C$2)+$M$2&lt;=0,0,((J21-$C$2)*Setup!$C$2)+$M$2)</f>
        <v>137.34</v>
      </c>
      <c r="M21" s="60">
        <f t="shared" si="1"/>
        <v>132.435</v>
      </c>
    </row>
    <row r="22" spans="7:13" ht="15">
      <c r="G22" s="60">
        <f>J22*Setup!$C$2+$H$2</f>
        <v>147.15</v>
      </c>
      <c r="H22" s="60">
        <f t="shared" si="0"/>
        <v>142.245</v>
      </c>
      <c r="J22" s="60">
        <v>15</v>
      </c>
      <c r="L22" s="60">
        <f>IF(((J22-$C$2)*Setup!$C$2)+$M$2&lt;=0,0,((J22-$C$2)*Setup!$C$2)+$M$2)</f>
        <v>147.15</v>
      </c>
      <c r="M22" s="60">
        <f t="shared" si="1"/>
        <v>142.245</v>
      </c>
    </row>
    <row r="23" spans="7:13" ht="15">
      <c r="G23" s="60">
        <f>J23*Setup!$C$2+$H$2</f>
        <v>156.96</v>
      </c>
      <c r="H23" s="60">
        <f t="shared" si="0"/>
        <v>152.055</v>
      </c>
      <c r="J23" s="60">
        <v>16</v>
      </c>
      <c r="L23" s="60">
        <f>IF(((J23-$C$2)*Setup!$C$2)+$M$2&lt;=0,0,((J23-$C$2)*Setup!$C$2)+$M$2)</f>
        <v>156.96</v>
      </c>
      <c r="M23" s="60">
        <f t="shared" si="1"/>
        <v>152.055</v>
      </c>
    </row>
    <row r="24" spans="7:13" ht="15">
      <c r="G24" s="60">
        <f>J24*Setup!$C$2+$H$2</f>
        <v>166.77</v>
      </c>
      <c r="H24" s="60">
        <f t="shared" si="0"/>
        <v>161.865</v>
      </c>
      <c r="J24" s="60">
        <v>17</v>
      </c>
      <c r="L24" s="60">
        <f>IF(((J24-$C$2)*Setup!$C$2)+$M$2&lt;=0,0,((J24-$C$2)*Setup!$C$2)+$M$2)</f>
        <v>166.77</v>
      </c>
      <c r="M24" s="60">
        <f t="shared" si="1"/>
        <v>161.865</v>
      </c>
    </row>
    <row r="25" spans="7:13" ht="15">
      <c r="G25" s="60">
        <f>J25*Setup!$C$2+$H$2</f>
        <v>176.58</v>
      </c>
      <c r="H25" s="60">
        <f t="shared" si="0"/>
        <v>171.675</v>
      </c>
      <c r="J25" s="60">
        <v>18</v>
      </c>
      <c r="L25" s="60">
        <f>IF(((J25-$C$2)*Setup!$C$2)+$M$2&lt;=0,0,((J25-$C$2)*Setup!$C$2)+$M$2)</f>
        <v>176.58</v>
      </c>
      <c r="M25" s="60">
        <f t="shared" si="1"/>
        <v>171.675</v>
      </c>
    </row>
    <row r="26" spans="7:13" ht="15">
      <c r="G26" s="60">
        <f>J26*Setup!$C$2+$H$2</f>
        <v>186.39000000000001</v>
      </c>
      <c r="H26" s="60">
        <f t="shared" si="0"/>
        <v>181.485</v>
      </c>
      <c r="J26" s="60">
        <v>19</v>
      </c>
      <c r="L26" s="60">
        <f>IF(((J26-$C$2)*Setup!$C$2)+$M$2&lt;=0,0,((J26-$C$2)*Setup!$C$2)+$M$2)</f>
        <v>186.39000000000001</v>
      </c>
      <c r="M26" s="60">
        <f t="shared" si="1"/>
        <v>181.485</v>
      </c>
    </row>
    <row r="27" spans="7:13" ht="15">
      <c r="G27" s="60">
        <f>J27*Setup!$C$2+$H$2</f>
        <v>196.20000000000002</v>
      </c>
      <c r="H27" s="60">
        <f t="shared" si="0"/>
        <v>191.29500000000002</v>
      </c>
      <c r="J27" s="60">
        <v>20</v>
      </c>
      <c r="L27" s="60">
        <f>IF(((J27-$C$2)*Setup!$C$2)+$M$2&lt;=0,0,((J27-$C$2)*Setup!$C$2)+$M$2)</f>
        <v>196.20000000000002</v>
      </c>
      <c r="M27" s="60">
        <f t="shared" si="1"/>
        <v>191.29500000000002</v>
      </c>
    </row>
    <row r="28" spans="7:13" ht="15">
      <c r="G28" s="60">
        <f>J28*Setup!$C$2+$H$2</f>
        <v>206.01000000000002</v>
      </c>
      <c r="H28" s="60">
        <f t="shared" si="0"/>
        <v>201.10500000000002</v>
      </c>
      <c r="J28" s="60">
        <v>21</v>
      </c>
      <c r="L28" s="60">
        <f>IF(((J28-$C$2)*Setup!$C$2)+$M$2&lt;=0,0,((J28-$C$2)*Setup!$C$2)+$M$2)</f>
        <v>206.01000000000002</v>
      </c>
      <c r="M28" s="60">
        <f t="shared" si="1"/>
        <v>201.10500000000002</v>
      </c>
    </row>
    <row r="29" spans="7:13" ht="15">
      <c r="G29" s="60">
        <f>J29*Setup!$C$2+$H$2</f>
        <v>215.82000000000002</v>
      </c>
      <c r="H29" s="60">
        <f t="shared" si="0"/>
        <v>210.91500000000002</v>
      </c>
      <c r="J29" s="60">
        <v>22</v>
      </c>
      <c r="L29" s="60">
        <f>IF(((J29-$C$2)*Setup!$C$2)+$M$2&lt;=0,0,((J29-$C$2)*Setup!$C$2)+$M$2)</f>
        <v>215.82000000000002</v>
      </c>
      <c r="M29" s="60">
        <f t="shared" si="1"/>
        <v>210.91500000000002</v>
      </c>
    </row>
    <row r="30" spans="7:13" ht="15">
      <c r="G30" s="60">
        <f>J30*Setup!$C$2+$H$2</f>
        <v>225.63000000000002</v>
      </c>
      <c r="H30" s="60">
        <f t="shared" si="0"/>
        <v>220.72500000000002</v>
      </c>
      <c r="J30" s="60">
        <v>23</v>
      </c>
      <c r="L30" s="60">
        <f>IF(((J30-$C$2)*Setup!$C$2)+$M$2&lt;=0,0,((J30-$C$2)*Setup!$C$2)+$M$2)</f>
        <v>225.63000000000002</v>
      </c>
      <c r="M30" s="60">
        <f t="shared" si="1"/>
        <v>220.72500000000002</v>
      </c>
    </row>
    <row r="31" spans="7:13" ht="15">
      <c r="G31" s="60">
        <f>J31*Setup!$C$2+$H$2</f>
        <v>235.44</v>
      </c>
      <c r="H31" s="60">
        <f t="shared" si="0"/>
        <v>230.53500000000003</v>
      </c>
      <c r="J31" s="60">
        <v>24</v>
      </c>
      <c r="L31" s="60">
        <f>IF(((J31-$C$2)*Setup!$C$2)+$M$2&lt;=0,0,((J31-$C$2)*Setup!$C$2)+$M$2)</f>
        <v>235.44</v>
      </c>
      <c r="M31" s="60">
        <f t="shared" si="1"/>
        <v>230.53500000000003</v>
      </c>
    </row>
    <row r="32" spans="7:13" ht="15">
      <c r="G32" s="60">
        <f>J32*Setup!$C$2+$H$2</f>
        <v>245.25</v>
      </c>
      <c r="H32" s="60">
        <f t="shared" si="0"/>
        <v>240.345</v>
      </c>
      <c r="J32" s="60">
        <v>25</v>
      </c>
      <c r="L32" s="60">
        <f>IF(((J32-$C$2)*Setup!$C$2)+$M$2&lt;=0,0,((J32-$C$2)*Setup!$C$2)+$M$2)</f>
        <v>245.25</v>
      </c>
      <c r="M32" s="60">
        <f t="shared" si="1"/>
        <v>240.345</v>
      </c>
    </row>
    <row r="33" spans="7:13" ht="15">
      <c r="G33" s="60">
        <f>J33*Setup!$C$2+$H$2</f>
        <v>255.06</v>
      </c>
      <c r="H33" s="60">
        <f t="shared" si="0"/>
        <v>250.155</v>
      </c>
      <c r="J33" s="60">
        <v>26</v>
      </c>
      <c r="L33" s="60">
        <f>IF(((J33-$C$2)*Setup!$C$2)+$M$2&lt;=0,0,((J33-$C$2)*Setup!$C$2)+$M$2)</f>
        <v>255.06</v>
      </c>
      <c r="M33" s="60">
        <f t="shared" si="1"/>
        <v>250.155</v>
      </c>
    </row>
    <row r="34" spans="7:13" ht="15">
      <c r="G34" s="60">
        <f>J34*Setup!$C$2+$H$2</f>
        <v>264.87</v>
      </c>
      <c r="H34" s="60">
        <f t="shared" si="0"/>
        <v>259.96500000000003</v>
      </c>
      <c r="J34" s="60">
        <v>27</v>
      </c>
      <c r="L34" s="60">
        <f>IF(((J34-$C$2)*Setup!$C$2)+$M$2&lt;=0,0,((J34-$C$2)*Setup!$C$2)+$M$2)</f>
        <v>264.87</v>
      </c>
      <c r="M34" s="60">
        <f t="shared" si="1"/>
        <v>259.96500000000003</v>
      </c>
    </row>
    <row r="35" spans="7:13" ht="15">
      <c r="G35" s="60">
        <f>J35*Setup!$C$2+$H$2</f>
        <v>274.68</v>
      </c>
      <c r="H35" s="60">
        <f t="shared" si="0"/>
        <v>269.775</v>
      </c>
      <c r="J35" s="60">
        <v>28</v>
      </c>
      <c r="L35" s="60">
        <f>IF(((J35-$C$2)*Setup!$C$2)+$M$2&lt;=0,0,((J35-$C$2)*Setup!$C$2)+$M$2)</f>
        <v>274.68</v>
      </c>
      <c r="M35" s="60">
        <f t="shared" si="1"/>
        <v>269.775</v>
      </c>
    </row>
    <row r="36" spans="7:13" ht="15">
      <c r="G36" s="60">
        <f>J36*Setup!$C$2+$H$2</f>
        <v>284.49</v>
      </c>
      <c r="H36" s="60">
        <f t="shared" si="0"/>
        <v>279.58500000000004</v>
      </c>
      <c r="J36" s="60">
        <v>29</v>
      </c>
      <c r="L36" s="60">
        <f>IF(((J36-$C$2)*Setup!$C$2)+$M$2&lt;=0,0,((J36-$C$2)*Setup!$C$2)+$M$2)</f>
        <v>284.49</v>
      </c>
      <c r="M36" s="60">
        <f t="shared" si="1"/>
        <v>279.58500000000004</v>
      </c>
    </row>
    <row r="37" spans="7:13" ht="15">
      <c r="G37" s="60">
        <f>J37*Setup!$C$2+$H$2</f>
        <v>294.3</v>
      </c>
      <c r="H37" s="60">
        <f t="shared" si="0"/>
        <v>289.395</v>
      </c>
      <c r="J37" s="60">
        <v>30</v>
      </c>
      <c r="L37" s="60">
        <f>IF(((J37-$C$2)*Setup!$C$2)+$M$2&lt;=0,0,((J37-$C$2)*Setup!$C$2)+$M$2)</f>
        <v>294.3</v>
      </c>
      <c r="M37" s="60">
        <f t="shared" si="1"/>
        <v>289.395</v>
      </c>
    </row>
    <row r="38" spans="7:13" ht="15">
      <c r="G38" s="60">
        <f>J38*Setup!$C$2+$H$2</f>
        <v>304.11</v>
      </c>
      <c r="H38" s="60">
        <f t="shared" si="0"/>
        <v>299.20500000000004</v>
      </c>
      <c r="J38" s="60">
        <v>31</v>
      </c>
      <c r="L38" s="60">
        <f>IF(((J38-$C$2)*Setup!$C$2)+$M$2&lt;=0,0,((J38-$C$2)*Setup!$C$2)+$M$2)</f>
        <v>304.11</v>
      </c>
      <c r="M38" s="60">
        <f t="shared" si="1"/>
        <v>299.20500000000004</v>
      </c>
    </row>
    <row r="39" spans="7:13" ht="15">
      <c r="G39" s="60">
        <f>J39*Setup!$C$2+$H$2</f>
        <v>313.92</v>
      </c>
      <c r="H39" s="60">
        <f t="shared" si="0"/>
        <v>309.015</v>
      </c>
      <c r="J39" s="60">
        <v>32</v>
      </c>
      <c r="L39" s="60">
        <f>IF(((J39-$C$2)*Setup!$C$2)+$M$2&lt;=0,0,((J39-$C$2)*Setup!$C$2)+$M$2)</f>
        <v>313.92</v>
      </c>
      <c r="M39" s="60">
        <f t="shared" si="1"/>
        <v>309.015</v>
      </c>
    </row>
    <row r="40" spans="7:13" ht="15">
      <c r="G40" s="60">
        <f>J40*Setup!$C$2+$H$2</f>
        <v>323.73</v>
      </c>
      <c r="H40" s="60">
        <f t="shared" si="0"/>
        <v>318.82500000000005</v>
      </c>
      <c r="J40" s="60">
        <v>33</v>
      </c>
      <c r="L40" s="60">
        <f>IF(((J40-$C$2)*Setup!$C$2)+$M$2&lt;=0,0,((J40-$C$2)*Setup!$C$2)+$M$2)</f>
        <v>323.73</v>
      </c>
      <c r="M40" s="60">
        <f t="shared" si="1"/>
        <v>318.82500000000005</v>
      </c>
    </row>
    <row r="41" spans="7:13" ht="15">
      <c r="G41" s="60">
        <f>J41*Setup!$C$2+$H$2</f>
        <v>333.54</v>
      </c>
      <c r="H41" s="60">
        <f t="shared" si="0"/>
        <v>328.635</v>
      </c>
      <c r="J41" s="60">
        <v>34</v>
      </c>
      <c r="L41" s="60">
        <f>IF(((J41-$C$2)*Setup!$C$2)+$M$2&lt;=0,0,((J41-$C$2)*Setup!$C$2)+$M$2)</f>
        <v>333.54</v>
      </c>
      <c r="M41" s="60">
        <f t="shared" si="1"/>
        <v>328.635</v>
      </c>
    </row>
    <row r="42" spans="7:13" ht="15">
      <c r="G42" s="60">
        <f>J42*Setup!$C$2+$H$2</f>
        <v>343.35</v>
      </c>
      <c r="H42" s="60">
        <f t="shared" si="0"/>
        <v>338.44500000000005</v>
      </c>
      <c r="J42" s="60">
        <v>35</v>
      </c>
      <c r="L42" s="60">
        <f>IF(((J42-$C$2)*Setup!$C$2)+$M$2&lt;=0,0,((J42-$C$2)*Setup!$C$2)+$M$2)</f>
        <v>343.35</v>
      </c>
      <c r="M42" s="60">
        <f t="shared" si="1"/>
        <v>338.44500000000005</v>
      </c>
    </row>
    <row r="43" spans="7:13" ht="15">
      <c r="G43" s="60">
        <f>J43*Setup!$C$2+$H$2</f>
        <v>353.16</v>
      </c>
      <c r="H43" s="60">
        <f t="shared" si="0"/>
        <v>348.255</v>
      </c>
      <c r="J43" s="60">
        <v>36</v>
      </c>
      <c r="L43" s="60">
        <f>IF(((J43-$C$2)*Setup!$C$2)+$M$2&lt;=0,0,((J43-$C$2)*Setup!$C$2)+$M$2)</f>
        <v>353.16</v>
      </c>
      <c r="M43" s="60">
        <f t="shared" si="1"/>
        <v>348.255</v>
      </c>
    </row>
    <row r="44" spans="7:13" ht="15">
      <c r="G44" s="60">
        <f>J44*Setup!$C$2+$H$2</f>
        <v>362.97</v>
      </c>
      <c r="H44" s="60">
        <f t="shared" si="0"/>
        <v>358.06500000000005</v>
      </c>
      <c r="J44" s="60">
        <v>37</v>
      </c>
      <c r="L44" s="60">
        <f>IF(((J44-$C$2)*Setup!$C$2)+$M$2&lt;=0,0,((J44-$C$2)*Setup!$C$2)+$M$2)</f>
        <v>362.97</v>
      </c>
      <c r="M44" s="60">
        <f t="shared" si="1"/>
        <v>358.06500000000005</v>
      </c>
    </row>
    <row r="45" spans="7:13" ht="15">
      <c r="G45" s="60">
        <f>J45*Setup!$C$2+$H$2</f>
        <v>372.78000000000003</v>
      </c>
      <c r="H45" s="60">
        <f t="shared" si="0"/>
        <v>367.875</v>
      </c>
      <c r="J45" s="60">
        <v>38</v>
      </c>
      <c r="L45" s="60">
        <f>IF(((J45-$C$2)*Setup!$C$2)+$M$2&lt;=0,0,((J45-$C$2)*Setup!$C$2)+$M$2)</f>
        <v>372.78000000000003</v>
      </c>
      <c r="M45" s="60">
        <f t="shared" si="1"/>
        <v>367.875</v>
      </c>
    </row>
    <row r="46" spans="7:13" ht="15">
      <c r="G46" s="60">
        <f>J46*Setup!$C$2+$H$2</f>
        <v>382.59000000000003</v>
      </c>
      <c r="H46" s="60">
        <f t="shared" si="0"/>
        <v>377.68500000000006</v>
      </c>
      <c r="J46" s="60">
        <v>39</v>
      </c>
      <c r="L46" s="60">
        <f>IF(((J46-$C$2)*Setup!$C$2)+$M$2&lt;=0,0,((J46-$C$2)*Setup!$C$2)+$M$2)</f>
        <v>382.59000000000003</v>
      </c>
      <c r="M46" s="60">
        <f t="shared" si="1"/>
        <v>377.68500000000006</v>
      </c>
    </row>
    <row r="47" spans="7:13" ht="15">
      <c r="G47" s="60">
        <f>J47*Setup!$C$2+$H$2</f>
        <v>392.40000000000003</v>
      </c>
      <c r="H47" s="60">
        <f t="shared" si="0"/>
        <v>387.495</v>
      </c>
      <c r="J47" s="60">
        <v>40</v>
      </c>
      <c r="L47" s="60">
        <f>IF(((J47-$C$2)*Setup!$C$2)+$M$2&lt;=0,0,((J47-$C$2)*Setup!$C$2)+$M$2)</f>
        <v>392.40000000000003</v>
      </c>
      <c r="M47" s="60">
        <f t="shared" si="1"/>
        <v>387.495</v>
      </c>
    </row>
    <row r="48" spans="7:13" ht="15">
      <c r="G48" s="60">
        <f>J48*Setup!$C$2+$H$2</f>
        <v>402.21000000000004</v>
      </c>
      <c r="H48" s="60">
        <f t="shared" si="0"/>
        <v>397.30500000000006</v>
      </c>
      <c r="J48" s="60">
        <v>41</v>
      </c>
      <c r="L48" s="60">
        <f>IF(((J48-$C$2)*Setup!$C$2)+$M$2&lt;=0,0,((J48-$C$2)*Setup!$C$2)+$M$2)</f>
        <v>402.21000000000004</v>
      </c>
      <c r="M48" s="60">
        <f t="shared" si="1"/>
        <v>397.30500000000006</v>
      </c>
    </row>
    <row r="49" spans="7:13" ht="15">
      <c r="G49" s="60">
        <f>J49*Setup!$C$2+$H$2</f>
        <v>412.02000000000004</v>
      </c>
      <c r="H49" s="60">
        <f t="shared" si="0"/>
        <v>407.115</v>
      </c>
      <c r="J49" s="60">
        <v>42</v>
      </c>
      <c r="L49" s="60">
        <f>IF(((J49-$C$2)*Setup!$C$2)+$M$2&lt;=0,0,((J49-$C$2)*Setup!$C$2)+$M$2)</f>
        <v>412.02000000000004</v>
      </c>
      <c r="M49" s="60">
        <f t="shared" si="1"/>
        <v>407.115</v>
      </c>
    </row>
    <row r="50" spans="7:13" ht="15">
      <c r="G50" s="60">
        <f>J50*Setup!$C$2+$H$2</f>
        <v>421.83000000000004</v>
      </c>
      <c r="H50" s="60">
        <f t="shared" si="0"/>
        <v>416.92500000000007</v>
      </c>
      <c r="J50" s="60">
        <v>43</v>
      </c>
      <c r="L50" s="60">
        <f>IF(((J50-$C$2)*Setup!$C$2)+$M$2&lt;=0,0,((J50-$C$2)*Setup!$C$2)+$M$2)</f>
        <v>421.83000000000004</v>
      </c>
      <c r="M50" s="60">
        <f t="shared" si="1"/>
        <v>416.92500000000007</v>
      </c>
    </row>
    <row r="51" spans="7:13" ht="15">
      <c r="G51" s="60">
        <f>J51*Setup!$C$2+$H$2</f>
        <v>431.64000000000004</v>
      </c>
      <c r="H51" s="60">
        <f t="shared" si="0"/>
        <v>426.735</v>
      </c>
      <c r="J51" s="60">
        <v>44</v>
      </c>
      <c r="L51" s="60">
        <f>IF(((J51-$C$2)*Setup!$C$2)+$M$2&lt;=0,0,((J51-$C$2)*Setup!$C$2)+$M$2)</f>
        <v>431.64000000000004</v>
      </c>
      <c r="M51" s="60">
        <f t="shared" si="1"/>
        <v>426.735</v>
      </c>
    </row>
    <row r="52" spans="7:13" ht="15">
      <c r="G52" s="60">
        <f>J52*Setup!$C$2+$H$2</f>
        <v>441.45000000000005</v>
      </c>
      <c r="H52" s="60">
        <f t="shared" si="0"/>
        <v>436.5450000000001</v>
      </c>
      <c r="J52" s="60">
        <v>45</v>
      </c>
      <c r="L52" s="60">
        <f>IF(((J52-$C$2)*Setup!$C$2)+$M$2&lt;=0,0,((J52-$C$2)*Setup!$C$2)+$M$2)</f>
        <v>441.45000000000005</v>
      </c>
      <c r="M52" s="60">
        <f t="shared" si="1"/>
        <v>436.5450000000001</v>
      </c>
    </row>
    <row r="53" spans="7:13" ht="15">
      <c r="G53" s="60">
        <f>J53*Setup!$C$2+$H$2</f>
        <v>451.26000000000005</v>
      </c>
      <c r="H53" s="60">
        <f t="shared" si="0"/>
        <v>446.355</v>
      </c>
      <c r="J53" s="60">
        <v>46</v>
      </c>
      <c r="L53" s="60">
        <f>IF(((J53-$C$2)*Setup!$C$2)+$M$2&lt;=0,0,((J53-$C$2)*Setup!$C$2)+$M$2)</f>
        <v>451.26000000000005</v>
      </c>
      <c r="M53" s="60">
        <f t="shared" si="1"/>
        <v>446.355</v>
      </c>
    </row>
    <row r="54" spans="7:13" ht="15">
      <c r="G54" s="60">
        <f>J54*Setup!$C$2+$H$2</f>
        <v>461.07000000000005</v>
      </c>
      <c r="H54" s="60">
        <f t="shared" si="0"/>
        <v>456.1650000000001</v>
      </c>
      <c r="J54" s="60">
        <v>47</v>
      </c>
      <c r="L54" s="60">
        <f>IF(((J54-$C$2)*Setup!$C$2)+$M$2&lt;=0,0,((J54-$C$2)*Setup!$C$2)+$M$2)</f>
        <v>461.07000000000005</v>
      </c>
      <c r="M54" s="60">
        <f t="shared" si="1"/>
        <v>456.1650000000001</v>
      </c>
    </row>
    <row r="55" spans="7:13" ht="15">
      <c r="G55" s="60">
        <f>J55*Setup!$C$2+$H$2</f>
        <v>470.88</v>
      </c>
      <c r="H55" s="60">
        <f t="shared" si="0"/>
        <v>465.975</v>
      </c>
      <c r="J55" s="60">
        <v>48</v>
      </c>
      <c r="L55" s="60">
        <f>IF(((J55-$C$2)*Setup!$C$2)+$M$2&lt;=0,0,((J55-$C$2)*Setup!$C$2)+$M$2)</f>
        <v>470.88</v>
      </c>
      <c r="M55" s="60">
        <f t="shared" si="1"/>
        <v>465.975</v>
      </c>
    </row>
    <row r="56" spans="7:13" ht="15">
      <c r="G56" s="60">
        <f>J56*Setup!$C$2+$H$2</f>
        <v>480.69</v>
      </c>
      <c r="H56" s="60">
        <f t="shared" si="0"/>
        <v>475.78499999999997</v>
      </c>
      <c r="J56" s="60">
        <v>49</v>
      </c>
      <c r="L56" s="60">
        <f>IF(((J56-$C$2)*Setup!$C$2)+$M$2&lt;=0,0,((J56-$C$2)*Setup!$C$2)+$M$2)</f>
        <v>480.69</v>
      </c>
      <c r="M56" s="60">
        <f t="shared" si="1"/>
        <v>475.78499999999997</v>
      </c>
    </row>
    <row r="57" spans="7:13" ht="15">
      <c r="G57" s="60">
        <f>J57*Setup!$C$2+$H$2</f>
        <v>490.5</v>
      </c>
      <c r="H57" s="60">
        <f t="shared" si="0"/>
        <v>485.595</v>
      </c>
      <c r="J57" s="60">
        <v>50</v>
      </c>
      <c r="L57" s="60">
        <f>IF(((J57-$C$2)*Setup!$C$2)+$M$2&lt;=0,0,((J57-$C$2)*Setup!$C$2)+$M$2)</f>
        <v>490.5</v>
      </c>
      <c r="M57" s="60">
        <f t="shared" si="1"/>
        <v>485.595</v>
      </c>
    </row>
    <row r="58" spans="7:13" ht="15">
      <c r="G58" s="60">
        <f>J58*Setup!$C$2+$H$2</f>
        <v>500.31</v>
      </c>
      <c r="H58" s="60">
        <f t="shared" si="0"/>
        <v>495.405</v>
      </c>
      <c r="J58" s="60">
        <v>51</v>
      </c>
      <c r="L58" s="60">
        <f>IF(((J58-$C$2)*Setup!$C$2)+$M$2&lt;=0,0,((J58-$C$2)*Setup!$C$2)+$M$2)</f>
        <v>500.31</v>
      </c>
      <c r="M58" s="60">
        <f t="shared" si="1"/>
        <v>495.405</v>
      </c>
    </row>
    <row r="59" spans="7:13" ht="15">
      <c r="G59" s="60">
        <f>J59*Setup!$C$2+$H$2</f>
        <v>510.12</v>
      </c>
      <c r="H59" s="60">
        <f t="shared" si="0"/>
        <v>505.21500000000003</v>
      </c>
      <c r="J59" s="60">
        <v>52</v>
      </c>
      <c r="L59" s="60">
        <f>IF(((J59-$C$2)*Setup!$C$2)+$M$2&lt;=0,0,((J59-$C$2)*Setup!$C$2)+$M$2)</f>
        <v>510.12</v>
      </c>
      <c r="M59" s="60">
        <f t="shared" si="1"/>
        <v>505.21500000000003</v>
      </c>
    </row>
    <row r="60" spans="7:13" ht="15">
      <c r="G60" s="60">
        <f>J60*Setup!$C$2+$H$2</f>
        <v>519.9300000000001</v>
      </c>
      <c r="H60" s="60">
        <f t="shared" si="0"/>
        <v>515.0250000000001</v>
      </c>
      <c r="J60" s="60">
        <v>53</v>
      </c>
      <c r="L60" s="60">
        <f>IF(((J60-$C$2)*Setup!$C$2)+$M$2&lt;=0,0,((J60-$C$2)*Setup!$C$2)+$M$2)</f>
        <v>519.9300000000001</v>
      </c>
      <c r="M60" s="60">
        <f t="shared" si="1"/>
        <v>515.0250000000001</v>
      </c>
    </row>
    <row r="61" spans="7:13" ht="15">
      <c r="G61" s="60">
        <f>J61*Setup!$C$2+$H$2</f>
        <v>529.74</v>
      </c>
      <c r="H61" s="60">
        <f t="shared" si="0"/>
        <v>524.835</v>
      </c>
      <c r="J61" s="60">
        <v>54</v>
      </c>
      <c r="L61" s="60">
        <f>IF(((J61-$C$2)*Setup!$C$2)+$M$2&lt;=0,0,((J61-$C$2)*Setup!$C$2)+$M$2)</f>
        <v>529.74</v>
      </c>
      <c r="M61" s="60">
        <f t="shared" si="1"/>
        <v>524.835</v>
      </c>
    </row>
    <row r="62" spans="7:13" ht="15">
      <c r="G62" s="60">
        <f>J62*Setup!$C$2+$H$2</f>
        <v>539.5500000000001</v>
      </c>
      <c r="H62" s="60">
        <f t="shared" si="0"/>
        <v>534.645</v>
      </c>
      <c r="J62" s="60">
        <v>55</v>
      </c>
      <c r="L62" s="60">
        <f>IF(((J62-$C$2)*Setup!$C$2)+$M$2&lt;=0,0,((J62-$C$2)*Setup!$C$2)+$M$2)</f>
        <v>539.5500000000001</v>
      </c>
      <c r="M62" s="60">
        <f t="shared" si="1"/>
        <v>534.645</v>
      </c>
    </row>
    <row r="63" spans="7:13" ht="15">
      <c r="G63" s="60">
        <f>J63*Setup!$C$2+$H$2</f>
        <v>549.36</v>
      </c>
      <c r="H63" s="60">
        <f t="shared" si="0"/>
        <v>544.455</v>
      </c>
      <c r="J63" s="60">
        <v>56</v>
      </c>
      <c r="L63" s="60">
        <f>IF(((J63-$C$2)*Setup!$C$2)+$M$2&lt;=0,0,((J63-$C$2)*Setup!$C$2)+$M$2)</f>
        <v>549.36</v>
      </c>
      <c r="M63" s="60">
        <f t="shared" si="1"/>
        <v>544.455</v>
      </c>
    </row>
    <row r="64" spans="7:13" ht="15">
      <c r="G64" s="60">
        <f>J64*Setup!$C$2+$H$2</f>
        <v>559.1700000000001</v>
      </c>
      <c r="H64" s="60">
        <f t="shared" si="0"/>
        <v>554.2650000000001</v>
      </c>
      <c r="J64" s="60">
        <v>57</v>
      </c>
      <c r="L64" s="60">
        <f>IF(((J64-$C$2)*Setup!$C$2)+$M$2&lt;=0,0,((J64-$C$2)*Setup!$C$2)+$M$2)</f>
        <v>559.1700000000001</v>
      </c>
      <c r="M64" s="60">
        <f t="shared" si="1"/>
        <v>554.2650000000001</v>
      </c>
    </row>
    <row r="65" spans="7:13" ht="15">
      <c r="G65" s="60">
        <f>J65*Setup!$C$2+$H$2</f>
        <v>568.98</v>
      </c>
      <c r="H65" s="60">
        <f t="shared" si="0"/>
        <v>564.075</v>
      </c>
      <c r="J65" s="60">
        <v>58</v>
      </c>
      <c r="L65" s="60">
        <f>IF(((J65-$C$2)*Setup!$C$2)+$M$2&lt;=0,0,((J65-$C$2)*Setup!$C$2)+$M$2)</f>
        <v>568.98</v>
      </c>
      <c r="M65" s="60">
        <f t="shared" si="1"/>
        <v>564.075</v>
      </c>
    </row>
    <row r="66" spans="7:13" ht="15">
      <c r="G66" s="60">
        <f>J66*Setup!$C$2+$H$2</f>
        <v>578.7900000000001</v>
      </c>
      <c r="H66" s="60">
        <f t="shared" si="0"/>
        <v>573.885</v>
      </c>
      <c r="J66" s="60">
        <v>59</v>
      </c>
      <c r="L66" s="60">
        <f>IF(((J66-$C$2)*Setup!$C$2)+$M$2&lt;=0,0,((J66-$C$2)*Setup!$C$2)+$M$2)</f>
        <v>578.7900000000001</v>
      </c>
      <c r="M66" s="60">
        <f t="shared" si="1"/>
        <v>573.885</v>
      </c>
    </row>
    <row r="67" spans="7:13" ht="15">
      <c r="G67" s="60">
        <f>J67*Setup!$C$2+$H$2</f>
        <v>588.6</v>
      </c>
      <c r="H67" s="60">
        <f t="shared" si="0"/>
        <v>583.695</v>
      </c>
      <c r="J67" s="60">
        <v>60</v>
      </c>
      <c r="L67" s="60">
        <f>IF(((J67-$C$2)*Setup!$C$2)+$M$2&lt;=0,0,((J67-$C$2)*Setup!$C$2)+$M$2)</f>
        <v>588.6</v>
      </c>
      <c r="M67" s="60">
        <f t="shared" si="1"/>
        <v>583.695</v>
      </c>
    </row>
    <row r="68" spans="7:13" ht="15">
      <c r="G68" s="60">
        <f>J68*Setup!$C$2+$H$2</f>
        <v>598.4100000000001</v>
      </c>
      <c r="H68" s="60">
        <f t="shared" si="0"/>
        <v>593.5050000000001</v>
      </c>
      <c r="J68" s="60">
        <v>61</v>
      </c>
      <c r="L68" s="60">
        <f>IF(((J68-$C$2)*Setup!$C$2)+$M$2&lt;=0,0,((J68-$C$2)*Setup!$C$2)+$M$2)</f>
        <v>598.4100000000001</v>
      </c>
      <c r="M68" s="60">
        <f t="shared" si="1"/>
        <v>593.5050000000001</v>
      </c>
    </row>
    <row r="69" spans="7:13" ht="15">
      <c r="G69" s="60">
        <f>J69*Setup!$C$2+$H$2</f>
        <v>608.22</v>
      </c>
      <c r="H69" s="60">
        <f t="shared" si="0"/>
        <v>603.315</v>
      </c>
      <c r="J69" s="60">
        <v>62</v>
      </c>
      <c r="L69" s="60">
        <f>IF(((J69-$C$2)*Setup!$C$2)+$M$2&lt;=0,0,((J69-$C$2)*Setup!$C$2)+$M$2)</f>
        <v>608.22</v>
      </c>
      <c r="M69" s="60">
        <f t="shared" si="1"/>
        <v>603.315</v>
      </c>
    </row>
    <row r="70" spans="7:13" ht="15">
      <c r="G70" s="60">
        <f>J70*Setup!$C$2+$H$2</f>
        <v>618.0300000000001</v>
      </c>
      <c r="H70" s="60">
        <f t="shared" si="0"/>
        <v>613.125</v>
      </c>
      <c r="J70" s="60">
        <v>63</v>
      </c>
      <c r="L70" s="60">
        <f>IF(((J70-$C$2)*Setup!$C$2)+$M$2&lt;=0,0,((J70-$C$2)*Setup!$C$2)+$M$2)</f>
        <v>618.0300000000001</v>
      </c>
      <c r="M70" s="60">
        <f t="shared" si="1"/>
        <v>613.125</v>
      </c>
    </row>
    <row r="71" spans="7:13" ht="15">
      <c r="G71" s="60">
        <f>J71*Setup!$C$2+$H$2</f>
        <v>627.84</v>
      </c>
      <c r="H71" s="60">
        <f t="shared" si="0"/>
        <v>622.9350000000001</v>
      </c>
      <c r="J71" s="60">
        <v>64</v>
      </c>
      <c r="L71" s="60">
        <f>IF(((J71-$C$2)*Setup!$C$2)+$M$2&lt;=0,0,((J71-$C$2)*Setup!$C$2)+$M$2)</f>
        <v>627.84</v>
      </c>
      <c r="M71" s="60">
        <f t="shared" si="1"/>
        <v>622.9350000000001</v>
      </c>
    </row>
    <row r="72" spans="7:13" ht="15">
      <c r="G72" s="60">
        <f>J72*Setup!$C$2+$H$2</f>
        <v>637.65</v>
      </c>
      <c r="H72" s="60">
        <f t="shared" si="0"/>
        <v>632.745</v>
      </c>
      <c r="J72" s="60">
        <v>65</v>
      </c>
      <c r="L72" s="60">
        <f>IF(((J72-$C$2)*Setup!$C$2)+$M$2&lt;=0,0,((J72-$C$2)*Setup!$C$2)+$M$2)</f>
        <v>637.65</v>
      </c>
      <c r="M72" s="60">
        <f t="shared" si="1"/>
        <v>632.745</v>
      </c>
    </row>
    <row r="73" spans="7:13" ht="15">
      <c r="G73" s="60">
        <f>J73*Setup!$C$2+$H$2</f>
        <v>647.46</v>
      </c>
      <c r="H73" s="60">
        <f t="shared" si="0"/>
        <v>642.5550000000001</v>
      </c>
      <c r="J73" s="60">
        <v>66</v>
      </c>
      <c r="L73" s="60">
        <f>IF(((J73-$C$2)*Setup!$C$2)+$M$2&lt;=0,0,((J73-$C$2)*Setup!$C$2)+$M$2)</f>
        <v>647.46</v>
      </c>
      <c r="M73" s="60">
        <f t="shared" si="1"/>
        <v>642.5550000000001</v>
      </c>
    </row>
    <row r="74" spans="7:13" ht="15">
      <c r="G74" s="60">
        <f>J74*Setup!$C$2+$H$2</f>
        <v>657.27</v>
      </c>
      <c r="H74" s="60">
        <f t="shared" si="0"/>
        <v>652.365</v>
      </c>
      <c r="J74" s="60">
        <v>67</v>
      </c>
      <c r="L74" s="60">
        <f>IF(((J74-$C$2)*Setup!$C$2)+$M$2&lt;=0,0,((J74-$C$2)*Setup!$C$2)+$M$2)</f>
        <v>657.27</v>
      </c>
      <c r="M74" s="60">
        <f t="shared" si="1"/>
        <v>652.365</v>
      </c>
    </row>
    <row r="75" spans="7:13" ht="15">
      <c r="G75" s="60">
        <f>J75*Setup!$C$2+$H$2</f>
        <v>667.08</v>
      </c>
      <c r="H75" s="60">
        <f t="shared" si="0"/>
        <v>662.175</v>
      </c>
      <c r="J75" s="60">
        <v>68</v>
      </c>
      <c r="L75" s="60">
        <f>IF(((J75-$C$2)*Setup!$C$2)+$M$2&lt;=0,0,((J75-$C$2)*Setup!$C$2)+$M$2)</f>
        <v>667.08</v>
      </c>
      <c r="M75" s="60">
        <f t="shared" si="1"/>
        <v>662.175</v>
      </c>
    </row>
    <row r="76" spans="7:13" ht="15">
      <c r="G76" s="60">
        <f>J76*Setup!$C$2+$H$2</f>
        <v>676.89</v>
      </c>
      <c r="H76" s="60">
        <f t="shared" si="0"/>
        <v>671.985</v>
      </c>
      <c r="J76" s="60">
        <v>69</v>
      </c>
      <c r="L76" s="60">
        <f>IF(((J76-$C$2)*Setup!$C$2)+$M$2&lt;=0,0,((J76-$C$2)*Setup!$C$2)+$M$2)</f>
        <v>676.89</v>
      </c>
      <c r="M76" s="60">
        <f t="shared" si="1"/>
        <v>671.985</v>
      </c>
    </row>
    <row r="77" spans="7:13" ht="15">
      <c r="G77" s="60">
        <f>J77*Setup!$C$2+$H$2</f>
        <v>686.7</v>
      </c>
      <c r="H77" s="60">
        <f t="shared" si="0"/>
        <v>681.7950000000001</v>
      </c>
      <c r="J77" s="60">
        <v>70</v>
      </c>
      <c r="L77" s="60">
        <f>IF(((J77-$C$2)*Setup!$C$2)+$M$2&lt;=0,0,((J77-$C$2)*Setup!$C$2)+$M$2)</f>
        <v>686.7</v>
      </c>
      <c r="M77" s="60">
        <f t="shared" si="1"/>
        <v>681.7950000000001</v>
      </c>
    </row>
    <row r="78" spans="7:13" ht="15">
      <c r="G78" s="60">
        <f>J78*Setup!$C$2+$H$2</f>
        <v>696.51</v>
      </c>
      <c r="H78" s="60">
        <f t="shared" si="0"/>
        <v>691.605</v>
      </c>
      <c r="J78" s="60">
        <v>71</v>
      </c>
      <c r="L78" s="60">
        <f>IF(((J78-$C$2)*Setup!$C$2)+$M$2&lt;=0,0,((J78-$C$2)*Setup!$C$2)+$M$2)</f>
        <v>696.51</v>
      </c>
      <c r="M78" s="60">
        <f t="shared" si="1"/>
        <v>691.605</v>
      </c>
    </row>
    <row r="79" spans="7:13" ht="15">
      <c r="G79" s="60">
        <f>J79*Setup!$C$2+$H$2</f>
        <v>706.32</v>
      </c>
      <c r="H79" s="60">
        <f t="shared" si="0"/>
        <v>701.415</v>
      </c>
      <c r="J79" s="60">
        <v>72</v>
      </c>
      <c r="L79" s="60">
        <f>IF(((J79-$C$2)*Setup!$C$2)+$M$2&lt;=0,0,((J79-$C$2)*Setup!$C$2)+$M$2)</f>
        <v>706.32</v>
      </c>
      <c r="M79" s="60">
        <f t="shared" si="1"/>
        <v>701.415</v>
      </c>
    </row>
    <row r="80" spans="7:13" ht="15">
      <c r="G80" s="60">
        <f>J80*Setup!$C$2+$H$2</f>
        <v>716.13</v>
      </c>
      <c r="H80" s="60">
        <f t="shared" si="0"/>
        <v>711.225</v>
      </c>
      <c r="J80" s="60">
        <v>73</v>
      </c>
      <c r="L80" s="60">
        <f>IF(((J80-$C$2)*Setup!$C$2)+$M$2&lt;=0,0,((J80-$C$2)*Setup!$C$2)+$M$2)</f>
        <v>716.13</v>
      </c>
      <c r="M80" s="60">
        <f t="shared" si="1"/>
        <v>711.225</v>
      </c>
    </row>
    <row r="81" spans="7:13" ht="15">
      <c r="G81" s="60">
        <f>J81*Setup!$C$2+$H$2</f>
        <v>725.94</v>
      </c>
      <c r="H81" s="60">
        <f t="shared" si="0"/>
        <v>721.0350000000001</v>
      </c>
      <c r="J81" s="60">
        <v>74</v>
      </c>
      <c r="L81" s="60">
        <f>IF(((J81-$C$2)*Setup!$C$2)+$M$2&lt;=0,0,((J81-$C$2)*Setup!$C$2)+$M$2)</f>
        <v>725.94</v>
      </c>
      <c r="M81" s="60">
        <f t="shared" si="1"/>
        <v>721.0350000000001</v>
      </c>
    </row>
    <row r="82" spans="7:13" ht="15">
      <c r="G82" s="60">
        <f>J82*Setup!$C$2+$H$2</f>
        <v>735.75</v>
      </c>
      <c r="H82" s="60">
        <f t="shared" si="0"/>
        <v>730.845</v>
      </c>
      <c r="J82" s="60">
        <v>75</v>
      </c>
      <c r="L82" s="60">
        <f>IF(((J82-$C$2)*Setup!$C$2)+$M$2&lt;=0,0,((J82-$C$2)*Setup!$C$2)+$M$2)</f>
        <v>735.75</v>
      </c>
      <c r="M82" s="60">
        <f t="shared" si="1"/>
        <v>730.845</v>
      </c>
    </row>
    <row r="83" spans="7:13" ht="15">
      <c r="G83" s="60">
        <f>J83*Setup!$C$2+$H$2</f>
        <v>745.5600000000001</v>
      </c>
      <c r="H83" s="60">
        <f t="shared" si="0"/>
        <v>740.655</v>
      </c>
      <c r="J83" s="60">
        <v>76</v>
      </c>
      <c r="L83" s="60">
        <f>IF(((J83-$C$2)*Setup!$C$2)+$M$2&lt;=0,0,((J83-$C$2)*Setup!$C$2)+$M$2)</f>
        <v>745.5600000000001</v>
      </c>
      <c r="M83" s="60">
        <f t="shared" si="1"/>
        <v>740.655</v>
      </c>
    </row>
    <row r="84" spans="7:13" ht="15">
      <c r="G84" s="60">
        <f>J84*Setup!$C$2+$H$2</f>
        <v>755.37</v>
      </c>
      <c r="H84" s="60">
        <f t="shared" si="0"/>
        <v>750.465</v>
      </c>
      <c r="J84" s="60">
        <v>77</v>
      </c>
      <c r="L84" s="60">
        <f>IF(((J84-$C$2)*Setup!$C$2)+$M$2&lt;=0,0,((J84-$C$2)*Setup!$C$2)+$M$2)</f>
        <v>755.37</v>
      </c>
      <c r="M84" s="60">
        <f t="shared" si="1"/>
        <v>750.465</v>
      </c>
    </row>
    <row r="85" spans="7:13" ht="15">
      <c r="G85" s="60">
        <f>J85*Setup!$C$2+$H$2</f>
        <v>765.1800000000001</v>
      </c>
      <c r="H85" s="60">
        <f t="shared" si="0"/>
        <v>760.2750000000001</v>
      </c>
      <c r="J85" s="60">
        <v>78</v>
      </c>
      <c r="L85" s="60">
        <f>IF(((J85-$C$2)*Setup!$C$2)+$M$2&lt;=0,0,((J85-$C$2)*Setup!$C$2)+$M$2)</f>
        <v>765.1800000000001</v>
      </c>
      <c r="M85" s="60">
        <f t="shared" si="1"/>
        <v>760.2750000000001</v>
      </c>
    </row>
    <row r="86" spans="7:13" ht="15">
      <c r="G86" s="60">
        <f>J86*Setup!$C$2+$H$2</f>
        <v>774.99</v>
      </c>
      <c r="H86" s="60">
        <f t="shared" si="0"/>
        <v>770.085</v>
      </c>
      <c r="J86" s="60">
        <v>79</v>
      </c>
      <c r="L86" s="60">
        <f>IF(((J86-$C$2)*Setup!$C$2)+$M$2&lt;=0,0,((J86-$C$2)*Setup!$C$2)+$M$2)</f>
        <v>774.99</v>
      </c>
      <c r="M86" s="60">
        <f t="shared" si="1"/>
        <v>770.085</v>
      </c>
    </row>
    <row r="87" spans="7:13" ht="15">
      <c r="G87" s="60">
        <f>J87*Setup!$C$2+$H$2</f>
        <v>784.8000000000001</v>
      </c>
      <c r="H87" s="60">
        <f t="shared" si="0"/>
        <v>779.895</v>
      </c>
      <c r="J87" s="60">
        <v>80</v>
      </c>
      <c r="L87" s="60">
        <f>IF(((J87-$C$2)*Setup!$C$2)+$M$2&lt;=0,0,((J87-$C$2)*Setup!$C$2)+$M$2)</f>
        <v>784.8000000000001</v>
      </c>
      <c r="M87" s="60">
        <f t="shared" si="1"/>
        <v>779.895</v>
      </c>
    </row>
    <row r="88" spans="7:13" ht="15">
      <c r="G88" s="60">
        <f>J88*Setup!$C$2+$H$2</f>
        <v>794.61</v>
      </c>
      <c r="H88" s="60">
        <f t="shared" si="0"/>
        <v>789.705</v>
      </c>
      <c r="J88" s="60">
        <v>81</v>
      </c>
      <c r="L88" s="60">
        <f>IF(((J88-$C$2)*Setup!$C$2)+$M$2&lt;=0,0,((J88-$C$2)*Setup!$C$2)+$M$2)</f>
        <v>794.61</v>
      </c>
      <c r="M88" s="60">
        <f t="shared" si="1"/>
        <v>789.705</v>
      </c>
    </row>
    <row r="89" spans="7:13" ht="15">
      <c r="G89" s="60">
        <f>J89*Setup!$C$2+$H$2</f>
        <v>804.4200000000001</v>
      </c>
      <c r="H89" s="60">
        <f t="shared" si="0"/>
        <v>799.5150000000001</v>
      </c>
      <c r="J89" s="60">
        <v>82</v>
      </c>
      <c r="L89" s="60">
        <f>IF(((J89-$C$2)*Setup!$C$2)+$M$2&lt;=0,0,((J89-$C$2)*Setup!$C$2)+$M$2)</f>
        <v>804.4200000000001</v>
      </c>
      <c r="M89" s="60">
        <f t="shared" si="1"/>
        <v>799.5150000000001</v>
      </c>
    </row>
    <row r="90" spans="7:13" ht="15">
      <c r="G90" s="60">
        <f>J90*Setup!$C$2+$H$2</f>
        <v>814.23</v>
      </c>
      <c r="H90" s="60">
        <f t="shared" si="0"/>
        <v>809.325</v>
      </c>
      <c r="J90" s="60">
        <v>83</v>
      </c>
      <c r="L90" s="60">
        <f>IF(((J90-$C$2)*Setup!$C$2)+$M$2&lt;=0,0,((J90-$C$2)*Setup!$C$2)+$M$2)</f>
        <v>814.23</v>
      </c>
      <c r="M90" s="60">
        <f t="shared" si="1"/>
        <v>809.325</v>
      </c>
    </row>
    <row r="91" spans="7:13" ht="15">
      <c r="G91" s="60">
        <f>J91*Setup!$C$2+$H$2</f>
        <v>824.0400000000001</v>
      </c>
      <c r="H91" s="60">
        <f t="shared" si="0"/>
        <v>819.135</v>
      </c>
      <c r="J91" s="60">
        <v>84</v>
      </c>
      <c r="L91" s="60">
        <f>IF(((J91-$C$2)*Setup!$C$2)+$M$2&lt;=0,0,((J91-$C$2)*Setup!$C$2)+$M$2)</f>
        <v>824.0400000000001</v>
      </c>
      <c r="M91" s="60">
        <f t="shared" si="1"/>
        <v>819.135</v>
      </c>
    </row>
    <row r="92" spans="7:13" ht="15">
      <c r="G92" s="60">
        <f>J92*Setup!$C$2+$H$2</f>
        <v>833.85</v>
      </c>
      <c r="H92" s="60">
        <f t="shared" si="0"/>
        <v>828.945</v>
      </c>
      <c r="J92" s="60">
        <v>85</v>
      </c>
      <c r="L92" s="60">
        <f>IF(((J92-$C$2)*Setup!$C$2)+$M$2&lt;=0,0,((J92-$C$2)*Setup!$C$2)+$M$2)</f>
        <v>833.85</v>
      </c>
      <c r="M92" s="60">
        <f t="shared" si="1"/>
        <v>828.945</v>
      </c>
    </row>
    <row r="93" spans="7:13" ht="15">
      <c r="G93" s="60">
        <f>J93*Setup!$C$2+$H$2</f>
        <v>843.6600000000001</v>
      </c>
      <c r="H93" s="60">
        <f t="shared" si="0"/>
        <v>838.7550000000001</v>
      </c>
      <c r="J93" s="60">
        <v>86</v>
      </c>
      <c r="L93" s="60">
        <f>IF(((J93-$C$2)*Setup!$C$2)+$M$2&lt;=0,0,((J93-$C$2)*Setup!$C$2)+$M$2)</f>
        <v>843.6600000000001</v>
      </c>
      <c r="M93" s="60">
        <f t="shared" si="1"/>
        <v>838.7550000000001</v>
      </c>
    </row>
    <row r="94" spans="7:13" ht="15">
      <c r="G94" s="60">
        <f>J94*Setup!$C$2+$H$2</f>
        <v>853.47</v>
      </c>
      <c r="H94" s="60">
        <f t="shared" si="0"/>
        <v>848.565</v>
      </c>
      <c r="J94" s="60">
        <v>87</v>
      </c>
      <c r="L94" s="60">
        <f>IF(((J94-$C$2)*Setup!$C$2)+$M$2&lt;=0,0,((J94-$C$2)*Setup!$C$2)+$M$2)</f>
        <v>853.47</v>
      </c>
      <c r="M94" s="60">
        <f t="shared" si="1"/>
        <v>848.565</v>
      </c>
    </row>
    <row r="95" spans="7:13" ht="15">
      <c r="G95" s="60">
        <f>J95*Setup!$C$2+$H$2</f>
        <v>863.2800000000001</v>
      </c>
      <c r="H95" s="60">
        <f t="shared" si="0"/>
        <v>858.375</v>
      </c>
      <c r="J95" s="60">
        <v>88</v>
      </c>
      <c r="L95" s="60">
        <f>IF(((J95-$C$2)*Setup!$C$2)+$M$2&lt;=0,0,((J95-$C$2)*Setup!$C$2)+$M$2)</f>
        <v>863.2800000000001</v>
      </c>
      <c r="M95" s="60">
        <f t="shared" si="1"/>
        <v>858.375</v>
      </c>
    </row>
    <row r="96" spans="7:13" ht="15">
      <c r="G96" s="60">
        <f>J96*Setup!$C$2+$H$2</f>
        <v>873.09</v>
      </c>
      <c r="H96" s="60">
        <f t="shared" si="0"/>
        <v>868.1850000000001</v>
      </c>
      <c r="J96" s="60">
        <v>89</v>
      </c>
      <c r="L96" s="60">
        <f>IF(((J96-$C$2)*Setup!$C$2)+$M$2&lt;=0,0,((J96-$C$2)*Setup!$C$2)+$M$2)</f>
        <v>873.09</v>
      </c>
      <c r="M96" s="60">
        <f t="shared" si="1"/>
        <v>868.1850000000001</v>
      </c>
    </row>
    <row r="97" spans="7:13" ht="15">
      <c r="G97" s="60">
        <f>J97*Setup!$C$2+$H$2</f>
        <v>882.9000000000001</v>
      </c>
      <c r="H97" s="60">
        <f t="shared" si="0"/>
        <v>877.9950000000001</v>
      </c>
      <c r="J97" s="60">
        <v>90</v>
      </c>
      <c r="L97" s="60">
        <f>IF(((J97-$C$2)*Setup!$C$2)+$M$2&lt;=0,0,((J97-$C$2)*Setup!$C$2)+$M$2)</f>
        <v>882.9000000000001</v>
      </c>
      <c r="M97" s="60">
        <f t="shared" si="1"/>
        <v>877.9950000000001</v>
      </c>
    </row>
    <row r="98" spans="7:13" ht="15">
      <c r="G98" s="60">
        <f>J98*Setup!$C$2+$H$2</f>
        <v>892.71</v>
      </c>
      <c r="H98" s="60">
        <f t="shared" si="0"/>
        <v>887.8050000000001</v>
      </c>
      <c r="J98" s="60">
        <v>91</v>
      </c>
      <c r="L98" s="60">
        <f>IF(((J98-$C$2)*Setup!$C$2)+$M$2&lt;=0,0,((J98-$C$2)*Setup!$C$2)+$M$2)</f>
        <v>892.71</v>
      </c>
      <c r="M98" s="60">
        <f t="shared" si="1"/>
        <v>887.8050000000001</v>
      </c>
    </row>
    <row r="99" spans="7:13" ht="15">
      <c r="G99" s="60">
        <f>J99*Setup!$C$2+$H$2</f>
        <v>902.5200000000001</v>
      </c>
      <c r="H99" s="60">
        <f t="shared" si="0"/>
        <v>897.615</v>
      </c>
      <c r="J99" s="60">
        <v>92</v>
      </c>
      <c r="L99" s="60">
        <f>IF(((J99-$C$2)*Setup!$C$2)+$M$2&lt;=0,0,((J99-$C$2)*Setup!$C$2)+$M$2)</f>
        <v>902.5200000000001</v>
      </c>
      <c r="M99" s="60">
        <f t="shared" si="1"/>
        <v>897.615</v>
      </c>
    </row>
    <row r="100" spans="7:13" ht="15">
      <c r="G100" s="60">
        <f>J100*Setup!$C$2+$H$2</f>
        <v>912.33</v>
      </c>
      <c r="H100" s="60">
        <f t="shared" si="0"/>
        <v>907.4250000000001</v>
      </c>
      <c r="J100" s="60">
        <v>93</v>
      </c>
      <c r="L100" s="60">
        <f>IF(((J100-$C$2)*Setup!$C$2)+$M$2&lt;=0,0,((J100-$C$2)*Setup!$C$2)+$M$2)</f>
        <v>912.33</v>
      </c>
      <c r="M100" s="60">
        <f t="shared" si="1"/>
        <v>907.4250000000001</v>
      </c>
    </row>
    <row r="101" spans="7:13" ht="15">
      <c r="G101" s="60">
        <f>J101*Setup!$C$2+$H$2</f>
        <v>922.1400000000001</v>
      </c>
      <c r="H101" s="60">
        <f t="shared" si="0"/>
        <v>917.2350000000001</v>
      </c>
      <c r="J101" s="60">
        <v>94</v>
      </c>
      <c r="L101" s="60">
        <f>IF(((J101-$C$2)*Setup!$C$2)+$M$2&lt;=0,0,((J101-$C$2)*Setup!$C$2)+$M$2)</f>
        <v>922.1400000000001</v>
      </c>
      <c r="M101" s="60">
        <f t="shared" si="1"/>
        <v>917.2350000000001</v>
      </c>
    </row>
    <row r="102" spans="7:13" ht="15">
      <c r="G102" s="60">
        <f>J102*Setup!$C$2+$H$2</f>
        <v>931.95</v>
      </c>
      <c r="H102" s="60">
        <f t="shared" si="0"/>
        <v>927.0450000000001</v>
      </c>
      <c r="J102" s="60">
        <v>95</v>
      </c>
      <c r="L102" s="60">
        <f>IF(((J102-$C$2)*Setup!$C$2)+$M$2&lt;=0,0,((J102-$C$2)*Setup!$C$2)+$M$2)</f>
        <v>931.95</v>
      </c>
      <c r="M102" s="60">
        <f t="shared" si="1"/>
        <v>927.0450000000001</v>
      </c>
    </row>
    <row r="103" spans="7:13" ht="15">
      <c r="G103" s="60">
        <f>J103*Setup!$C$2+$H$2</f>
        <v>941.76</v>
      </c>
      <c r="H103" s="60">
        <f t="shared" si="0"/>
        <v>936.855</v>
      </c>
      <c r="J103" s="60">
        <v>96</v>
      </c>
      <c r="L103" s="60">
        <f>IF(((J103-$C$2)*Setup!$C$2)+$M$2&lt;=0,0,((J103-$C$2)*Setup!$C$2)+$M$2)</f>
        <v>941.76</v>
      </c>
      <c r="M103" s="60">
        <f t="shared" si="1"/>
        <v>936.855</v>
      </c>
    </row>
    <row r="104" spans="7:13" ht="15">
      <c r="G104" s="60">
        <f>J104*Setup!$C$2+$H$2</f>
        <v>951.57</v>
      </c>
      <c r="H104" s="60">
        <f t="shared" si="0"/>
        <v>946.665</v>
      </c>
      <c r="J104" s="60">
        <v>97</v>
      </c>
      <c r="L104" s="60">
        <f>IF(((J104-$C$2)*Setup!$C$2)+$M$2&lt;=0,0,((J104-$C$2)*Setup!$C$2)+$M$2)</f>
        <v>951.57</v>
      </c>
      <c r="M104" s="60">
        <f t="shared" si="1"/>
        <v>946.665</v>
      </c>
    </row>
    <row r="105" spans="7:13" ht="15">
      <c r="G105" s="60">
        <f>J105*Setup!$C$2+$H$2</f>
        <v>961.38</v>
      </c>
      <c r="H105" s="60">
        <f t="shared" si="0"/>
        <v>956.475</v>
      </c>
      <c r="J105" s="60">
        <v>98</v>
      </c>
      <c r="L105" s="60">
        <f>IF(((J105-$C$2)*Setup!$C$2)+$M$2&lt;=0,0,((J105-$C$2)*Setup!$C$2)+$M$2)</f>
        <v>961.38</v>
      </c>
      <c r="M105" s="60">
        <f t="shared" si="1"/>
        <v>956.475</v>
      </c>
    </row>
    <row r="106" spans="7:13" ht="15">
      <c r="G106" s="60">
        <f>J106*Setup!$C$2+$H$2</f>
        <v>971.19</v>
      </c>
      <c r="H106" s="60">
        <f t="shared" si="0"/>
        <v>966.2850000000001</v>
      </c>
      <c r="J106" s="60">
        <v>99</v>
      </c>
      <c r="L106" s="60">
        <f>IF(((J106-$C$2)*Setup!$C$2)+$M$2&lt;=0,0,((J106-$C$2)*Setup!$C$2)+$M$2)</f>
        <v>971.19</v>
      </c>
      <c r="M106" s="60">
        <f t="shared" si="1"/>
        <v>966.2850000000001</v>
      </c>
    </row>
    <row r="107" spans="7:13" ht="15">
      <c r="G107" s="60">
        <f>J107*Setup!$C$2+$H$2</f>
        <v>981</v>
      </c>
      <c r="H107" s="60">
        <f t="shared" si="0"/>
        <v>976.095</v>
      </c>
      <c r="J107" s="60">
        <v>100</v>
      </c>
      <c r="L107" s="60">
        <f>IF(((J107-$C$2)*Setup!$C$2)+$M$2&lt;=0,0,((J107-$C$2)*Setup!$C$2)+$M$2)</f>
        <v>981</v>
      </c>
      <c r="M107" s="60">
        <f t="shared" si="1"/>
        <v>976.095</v>
      </c>
    </row>
  </sheetData>
  <sheetProtection password="CC7A" sheet="1" selectLockedCells="1"/>
  <mergeCells count="3">
    <mergeCell ref="G5:H5"/>
    <mergeCell ref="J5:J6"/>
    <mergeCell ref="L5:M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B1:I111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5" sqref="G5"/>
    </sheetView>
  </sheetViews>
  <sheetFormatPr defaultColWidth="9.140625" defaultRowHeight="15"/>
  <cols>
    <col min="1" max="1" width="2.140625" style="70" customWidth="1"/>
    <col min="2" max="2" width="25.28125" style="70" customWidth="1"/>
    <col min="3" max="4" width="10.7109375" style="70" customWidth="1"/>
    <col min="5" max="6" width="2.140625" style="70" customWidth="1"/>
    <col min="7" max="7" width="21.00390625" style="71" customWidth="1"/>
    <col min="8" max="8" width="21.00390625" style="72" customWidth="1"/>
    <col min="9" max="9" width="21.00390625" style="73" customWidth="1"/>
    <col min="10" max="10" width="21.00390625" style="70" customWidth="1"/>
    <col min="11" max="16384" width="9.140625" style="70" customWidth="1"/>
  </cols>
  <sheetData>
    <row r="1" spans="7:9" ht="7.5" customHeight="1">
      <c r="G1" s="74"/>
      <c r="H1" s="74"/>
      <c r="I1" s="74"/>
    </row>
    <row r="2" spans="2:9" ht="15" customHeight="1">
      <c r="B2" s="75" t="s">
        <v>38</v>
      </c>
      <c r="C2" s="75"/>
      <c r="D2" s="75"/>
      <c r="G2" s="76" t="s">
        <v>39</v>
      </c>
      <c r="H2" s="77" t="s">
        <v>40</v>
      </c>
      <c r="I2" s="78" t="s">
        <v>41</v>
      </c>
    </row>
    <row r="3" spans="2:9" ht="15">
      <c r="B3" s="79" t="s">
        <v>42</v>
      </c>
      <c r="C3" s="80">
        <v>2</v>
      </c>
      <c r="D3" s="81" t="s">
        <v>3</v>
      </c>
      <c r="G3" s="76"/>
      <c r="H3" s="77"/>
      <c r="I3" s="78"/>
    </row>
    <row r="4" spans="2:9" ht="15">
      <c r="B4" s="79" t="s">
        <v>43</v>
      </c>
      <c r="C4" s="82">
        <f>C3/C7</f>
        <v>0.2038735983690112</v>
      </c>
      <c r="D4" s="83" t="s">
        <v>9</v>
      </c>
      <c r="G4" s="84" t="s">
        <v>44</v>
      </c>
      <c r="H4" s="85" t="s">
        <v>45</v>
      </c>
      <c r="I4" s="86" t="s">
        <v>46</v>
      </c>
    </row>
    <row r="5" spans="2:9" ht="15">
      <c r="B5" s="79" t="s">
        <v>47</v>
      </c>
      <c r="C5" s="82">
        <f>2*C3/C7</f>
        <v>0.4077471967380224</v>
      </c>
      <c r="D5" s="83" t="s">
        <v>9</v>
      </c>
      <c r="G5" s="87"/>
      <c r="H5" s="88">
        <f>CONCATENATE("2(",C3,")/",C7)</f>
        <v>0</v>
      </c>
      <c r="I5" s="89">
        <f>CONCATENATE(C3,"^2/2(",C7,")")</f>
        <v>0</v>
      </c>
    </row>
    <row r="6" spans="2:9" ht="15">
      <c r="B6" s="79" t="s">
        <v>48</v>
      </c>
      <c r="C6" s="82">
        <f>C3*C3/C7/2</f>
        <v>0.2038735983690112</v>
      </c>
      <c r="D6" s="83" t="s">
        <v>6</v>
      </c>
      <c r="G6" s="90">
        <f>CONCATENATE(C3,"/",C7)</f>
        <v>0</v>
      </c>
      <c r="H6" s="88">
        <f>CONCATENATE(2*C3,"/",C7)</f>
        <v>0</v>
      </c>
      <c r="I6" s="89">
        <f>CONCATENATE(C3*C3,"/",2*C7)</f>
        <v>0</v>
      </c>
    </row>
    <row r="7" spans="2:9" ht="15.75">
      <c r="B7" s="91" t="s">
        <v>49</v>
      </c>
      <c r="C7" s="92">
        <f>Setup!$C$2</f>
        <v>9.81</v>
      </c>
      <c r="D7" s="93" t="s">
        <v>13</v>
      </c>
      <c r="G7" s="94">
        <f>C3/C7</f>
        <v>0.2038735983690112</v>
      </c>
      <c r="H7" s="95">
        <f>C3/C7*2</f>
        <v>0.4077471967380224</v>
      </c>
      <c r="I7" s="96">
        <f>C3*C3/2/C7</f>
        <v>0.2038735983690112</v>
      </c>
    </row>
    <row r="8" s="70" customFormat="1" ht="7.5" customHeight="1"/>
    <row r="9" s="70" customFormat="1" ht="7.5" customHeight="1"/>
    <row r="10" spans="7:9" ht="15.75">
      <c r="G10" s="97" t="s">
        <v>34</v>
      </c>
      <c r="H10" s="98" t="s">
        <v>50</v>
      </c>
      <c r="I10" s="99" t="s">
        <v>37</v>
      </c>
    </row>
    <row r="11" spans="7:9" ht="15">
      <c r="G11" s="71">
        <v>0</v>
      </c>
      <c r="H11" s="72">
        <f aca="true" t="shared" si="0" ref="H11:H110">IF(G11&lt;=$C$5,((G12-1)*-$C$7)+$C$3,0)</f>
        <v>2</v>
      </c>
      <c r="I11" s="73">
        <f aca="true" t="shared" si="1" ref="I11:I111">AVERAGE(H11:H11)</f>
        <v>2</v>
      </c>
    </row>
    <row r="12" spans="7:9" ht="15">
      <c r="G12" s="71">
        <v>1</v>
      </c>
      <c r="H12" s="72">
        <f t="shared" si="0"/>
        <v>0</v>
      </c>
      <c r="I12" s="73">
        <f t="shared" si="1"/>
        <v>0</v>
      </c>
    </row>
    <row r="13" spans="7:9" ht="15">
      <c r="G13" s="71">
        <v>2</v>
      </c>
      <c r="H13" s="72">
        <f t="shared" si="0"/>
        <v>0</v>
      </c>
      <c r="I13" s="73">
        <f t="shared" si="1"/>
        <v>0</v>
      </c>
    </row>
    <row r="14" spans="7:9" ht="15">
      <c r="G14" s="71">
        <v>3</v>
      </c>
      <c r="H14" s="72">
        <f t="shared" si="0"/>
        <v>0</v>
      </c>
      <c r="I14" s="73">
        <f t="shared" si="1"/>
        <v>0</v>
      </c>
    </row>
    <row r="15" spans="7:9" ht="15">
      <c r="G15" s="71">
        <v>4</v>
      </c>
      <c r="H15" s="72">
        <f t="shared" si="0"/>
        <v>0</v>
      </c>
      <c r="I15" s="73">
        <f t="shared" si="1"/>
        <v>0</v>
      </c>
    </row>
    <row r="16" spans="7:9" ht="15">
      <c r="G16" s="71">
        <v>5</v>
      </c>
      <c r="H16" s="72">
        <f t="shared" si="0"/>
        <v>0</v>
      </c>
      <c r="I16" s="73">
        <f t="shared" si="1"/>
        <v>0</v>
      </c>
    </row>
    <row r="17" spans="7:9" ht="15">
      <c r="G17" s="71">
        <v>6</v>
      </c>
      <c r="H17" s="72">
        <f t="shared" si="0"/>
        <v>0</v>
      </c>
      <c r="I17" s="73">
        <f t="shared" si="1"/>
        <v>0</v>
      </c>
    </row>
    <row r="18" spans="7:9" ht="15">
      <c r="G18" s="71">
        <v>7</v>
      </c>
      <c r="H18" s="72">
        <f t="shared" si="0"/>
        <v>0</v>
      </c>
      <c r="I18" s="73">
        <f t="shared" si="1"/>
        <v>0</v>
      </c>
    </row>
    <row r="19" spans="7:9" ht="15">
      <c r="G19" s="71">
        <v>8</v>
      </c>
      <c r="H19" s="72">
        <f t="shared" si="0"/>
        <v>0</v>
      </c>
      <c r="I19" s="73">
        <f t="shared" si="1"/>
        <v>0</v>
      </c>
    </row>
    <row r="20" spans="7:9" ht="15">
      <c r="G20" s="71">
        <v>9</v>
      </c>
      <c r="H20" s="72">
        <f t="shared" si="0"/>
        <v>0</v>
      </c>
      <c r="I20" s="73">
        <f t="shared" si="1"/>
        <v>0</v>
      </c>
    </row>
    <row r="21" spans="7:9" ht="15">
      <c r="G21" s="71">
        <v>10</v>
      </c>
      <c r="H21" s="72">
        <f t="shared" si="0"/>
        <v>0</v>
      </c>
      <c r="I21" s="73">
        <f t="shared" si="1"/>
        <v>0</v>
      </c>
    </row>
    <row r="22" spans="7:9" ht="15">
      <c r="G22" s="71">
        <v>11</v>
      </c>
      <c r="H22" s="72">
        <f t="shared" si="0"/>
        <v>0</v>
      </c>
      <c r="I22" s="73">
        <f t="shared" si="1"/>
        <v>0</v>
      </c>
    </row>
    <row r="23" spans="7:9" ht="15">
      <c r="G23" s="71">
        <v>12</v>
      </c>
      <c r="H23" s="72">
        <f t="shared" si="0"/>
        <v>0</v>
      </c>
      <c r="I23" s="73">
        <f t="shared" si="1"/>
        <v>0</v>
      </c>
    </row>
    <row r="24" spans="7:9" ht="15">
      <c r="G24" s="71">
        <v>13</v>
      </c>
      <c r="H24" s="72">
        <f t="shared" si="0"/>
        <v>0</v>
      </c>
      <c r="I24" s="73">
        <f t="shared" si="1"/>
        <v>0</v>
      </c>
    </row>
    <row r="25" spans="7:9" ht="15">
      <c r="G25" s="71">
        <v>14</v>
      </c>
      <c r="H25" s="72">
        <f t="shared" si="0"/>
        <v>0</v>
      </c>
      <c r="I25" s="73">
        <f t="shared" si="1"/>
        <v>0</v>
      </c>
    </row>
    <row r="26" spans="7:9" ht="15">
      <c r="G26" s="71">
        <v>15</v>
      </c>
      <c r="H26" s="72">
        <f t="shared" si="0"/>
        <v>0</v>
      </c>
      <c r="I26" s="73">
        <f t="shared" si="1"/>
        <v>0</v>
      </c>
    </row>
    <row r="27" spans="7:9" ht="15">
      <c r="G27" s="71">
        <v>16</v>
      </c>
      <c r="H27" s="72">
        <f t="shared" si="0"/>
        <v>0</v>
      </c>
      <c r="I27" s="73">
        <f t="shared" si="1"/>
        <v>0</v>
      </c>
    </row>
    <row r="28" spans="7:9" ht="15">
      <c r="G28" s="71">
        <v>17</v>
      </c>
      <c r="H28" s="72">
        <f t="shared" si="0"/>
        <v>0</v>
      </c>
      <c r="I28" s="73">
        <f t="shared" si="1"/>
        <v>0</v>
      </c>
    </row>
    <row r="29" spans="7:9" ht="15">
      <c r="G29" s="71">
        <v>18</v>
      </c>
      <c r="H29" s="72">
        <f t="shared" si="0"/>
        <v>0</v>
      </c>
      <c r="I29" s="73">
        <f t="shared" si="1"/>
        <v>0</v>
      </c>
    </row>
    <row r="30" spans="7:9" ht="15">
      <c r="G30" s="71">
        <v>19</v>
      </c>
      <c r="H30" s="72">
        <f t="shared" si="0"/>
        <v>0</v>
      </c>
      <c r="I30" s="73">
        <f t="shared" si="1"/>
        <v>0</v>
      </c>
    </row>
    <row r="31" spans="7:9" ht="15">
      <c r="G31" s="71">
        <v>20</v>
      </c>
      <c r="H31" s="72">
        <f t="shared" si="0"/>
        <v>0</v>
      </c>
      <c r="I31" s="73">
        <f t="shared" si="1"/>
        <v>0</v>
      </c>
    </row>
    <row r="32" spans="7:9" ht="15">
      <c r="G32" s="71">
        <v>21</v>
      </c>
      <c r="H32" s="72">
        <f t="shared" si="0"/>
        <v>0</v>
      </c>
      <c r="I32" s="73">
        <f t="shared" si="1"/>
        <v>0</v>
      </c>
    </row>
    <row r="33" spans="7:9" ht="15">
      <c r="G33" s="71">
        <v>22</v>
      </c>
      <c r="H33" s="72">
        <f t="shared" si="0"/>
        <v>0</v>
      </c>
      <c r="I33" s="73">
        <f t="shared" si="1"/>
        <v>0</v>
      </c>
    </row>
    <row r="34" spans="7:9" ht="15">
      <c r="G34" s="71">
        <v>23</v>
      </c>
      <c r="H34" s="72">
        <f t="shared" si="0"/>
        <v>0</v>
      </c>
      <c r="I34" s="73">
        <f t="shared" si="1"/>
        <v>0</v>
      </c>
    </row>
    <row r="35" spans="7:9" ht="15">
      <c r="G35" s="71">
        <v>24</v>
      </c>
      <c r="H35" s="72">
        <f t="shared" si="0"/>
        <v>0</v>
      </c>
      <c r="I35" s="73">
        <f t="shared" si="1"/>
        <v>0</v>
      </c>
    </row>
    <row r="36" spans="7:9" ht="15">
      <c r="G36" s="71">
        <v>25</v>
      </c>
      <c r="H36" s="72">
        <f t="shared" si="0"/>
        <v>0</v>
      </c>
      <c r="I36" s="73">
        <f t="shared" si="1"/>
        <v>0</v>
      </c>
    </row>
    <row r="37" spans="7:9" ht="15">
      <c r="G37" s="71">
        <v>26</v>
      </c>
      <c r="H37" s="72">
        <f t="shared" si="0"/>
        <v>0</v>
      </c>
      <c r="I37" s="73">
        <f t="shared" si="1"/>
        <v>0</v>
      </c>
    </row>
    <row r="38" spans="7:9" ht="15">
      <c r="G38" s="71">
        <v>27</v>
      </c>
      <c r="H38" s="72">
        <f t="shared" si="0"/>
        <v>0</v>
      </c>
      <c r="I38" s="73">
        <f t="shared" si="1"/>
        <v>0</v>
      </c>
    </row>
    <row r="39" spans="7:9" ht="15">
      <c r="G39" s="71">
        <v>28</v>
      </c>
      <c r="H39" s="72">
        <f t="shared" si="0"/>
        <v>0</v>
      </c>
      <c r="I39" s="73">
        <f t="shared" si="1"/>
        <v>0</v>
      </c>
    </row>
    <row r="40" spans="7:9" ht="15">
      <c r="G40" s="71">
        <v>29</v>
      </c>
      <c r="H40" s="72">
        <f t="shared" si="0"/>
        <v>0</v>
      </c>
      <c r="I40" s="73">
        <f t="shared" si="1"/>
        <v>0</v>
      </c>
    </row>
    <row r="41" spans="7:9" ht="15">
      <c r="G41" s="71">
        <v>30</v>
      </c>
      <c r="H41" s="72">
        <f t="shared" si="0"/>
        <v>0</v>
      </c>
      <c r="I41" s="73">
        <f t="shared" si="1"/>
        <v>0</v>
      </c>
    </row>
    <row r="42" spans="7:9" ht="15">
      <c r="G42" s="71">
        <v>31</v>
      </c>
      <c r="H42" s="72">
        <f t="shared" si="0"/>
        <v>0</v>
      </c>
      <c r="I42" s="73">
        <f t="shared" si="1"/>
        <v>0</v>
      </c>
    </row>
    <row r="43" spans="7:9" ht="15">
      <c r="G43" s="71">
        <v>32</v>
      </c>
      <c r="H43" s="72">
        <f t="shared" si="0"/>
        <v>0</v>
      </c>
      <c r="I43" s="73">
        <f t="shared" si="1"/>
        <v>0</v>
      </c>
    </row>
    <row r="44" spans="7:9" ht="15">
      <c r="G44" s="71">
        <v>33</v>
      </c>
      <c r="H44" s="72">
        <f t="shared" si="0"/>
        <v>0</v>
      </c>
      <c r="I44" s="73">
        <f t="shared" si="1"/>
        <v>0</v>
      </c>
    </row>
    <row r="45" spans="7:9" ht="15">
      <c r="G45" s="71">
        <v>34</v>
      </c>
      <c r="H45" s="72">
        <f t="shared" si="0"/>
        <v>0</v>
      </c>
      <c r="I45" s="73">
        <f t="shared" si="1"/>
        <v>0</v>
      </c>
    </row>
    <row r="46" spans="7:9" ht="15">
      <c r="G46" s="71">
        <v>35</v>
      </c>
      <c r="H46" s="72">
        <f t="shared" si="0"/>
        <v>0</v>
      </c>
      <c r="I46" s="73">
        <f t="shared" si="1"/>
        <v>0</v>
      </c>
    </row>
    <row r="47" spans="7:9" ht="15">
      <c r="G47" s="71">
        <v>36</v>
      </c>
      <c r="H47" s="72">
        <f t="shared" si="0"/>
        <v>0</v>
      </c>
      <c r="I47" s="73">
        <f t="shared" si="1"/>
        <v>0</v>
      </c>
    </row>
    <row r="48" spans="7:9" ht="15">
      <c r="G48" s="71">
        <v>37</v>
      </c>
      <c r="H48" s="72">
        <f t="shared" si="0"/>
        <v>0</v>
      </c>
      <c r="I48" s="73">
        <f t="shared" si="1"/>
        <v>0</v>
      </c>
    </row>
    <row r="49" spans="7:9" ht="15">
      <c r="G49" s="71">
        <v>38</v>
      </c>
      <c r="H49" s="72">
        <f t="shared" si="0"/>
        <v>0</v>
      </c>
      <c r="I49" s="73">
        <f t="shared" si="1"/>
        <v>0</v>
      </c>
    </row>
    <row r="50" spans="7:9" ht="15">
      <c r="G50" s="71">
        <v>39</v>
      </c>
      <c r="H50" s="72">
        <f t="shared" si="0"/>
        <v>0</v>
      </c>
      <c r="I50" s="73">
        <f t="shared" si="1"/>
        <v>0</v>
      </c>
    </row>
    <row r="51" spans="7:9" ht="15">
      <c r="G51" s="71">
        <v>40</v>
      </c>
      <c r="H51" s="72">
        <f t="shared" si="0"/>
        <v>0</v>
      </c>
      <c r="I51" s="73">
        <f t="shared" si="1"/>
        <v>0</v>
      </c>
    </row>
    <row r="52" spans="7:9" ht="15">
      <c r="G52" s="71">
        <v>41</v>
      </c>
      <c r="H52" s="72">
        <f t="shared" si="0"/>
        <v>0</v>
      </c>
      <c r="I52" s="73">
        <f t="shared" si="1"/>
        <v>0</v>
      </c>
    </row>
    <row r="53" spans="7:9" ht="15">
      <c r="G53" s="71">
        <v>42</v>
      </c>
      <c r="H53" s="72">
        <f t="shared" si="0"/>
        <v>0</v>
      </c>
      <c r="I53" s="73">
        <f t="shared" si="1"/>
        <v>0</v>
      </c>
    </row>
    <row r="54" spans="7:9" ht="15">
      <c r="G54" s="71">
        <v>43</v>
      </c>
      <c r="H54" s="72">
        <f t="shared" si="0"/>
        <v>0</v>
      </c>
      <c r="I54" s="73">
        <f t="shared" si="1"/>
        <v>0</v>
      </c>
    </row>
    <row r="55" spans="7:9" ht="15">
      <c r="G55" s="71">
        <v>44</v>
      </c>
      <c r="H55" s="72">
        <f t="shared" si="0"/>
        <v>0</v>
      </c>
      <c r="I55" s="73">
        <f t="shared" si="1"/>
        <v>0</v>
      </c>
    </row>
    <row r="56" spans="7:9" ht="15">
      <c r="G56" s="71">
        <v>45</v>
      </c>
      <c r="H56" s="72">
        <f t="shared" si="0"/>
        <v>0</v>
      </c>
      <c r="I56" s="73">
        <f t="shared" si="1"/>
        <v>0</v>
      </c>
    </row>
    <row r="57" spans="7:9" ht="15">
      <c r="G57" s="71">
        <v>46</v>
      </c>
      <c r="H57" s="72">
        <f t="shared" si="0"/>
        <v>0</v>
      </c>
      <c r="I57" s="73">
        <f t="shared" si="1"/>
        <v>0</v>
      </c>
    </row>
    <row r="58" spans="7:9" ht="15">
      <c r="G58" s="71">
        <v>47</v>
      </c>
      <c r="H58" s="72">
        <f t="shared" si="0"/>
        <v>0</v>
      </c>
      <c r="I58" s="73">
        <f t="shared" si="1"/>
        <v>0</v>
      </c>
    </row>
    <row r="59" spans="7:9" ht="15">
      <c r="G59" s="71">
        <v>48</v>
      </c>
      <c r="H59" s="72">
        <f t="shared" si="0"/>
        <v>0</v>
      </c>
      <c r="I59" s="73">
        <f t="shared" si="1"/>
        <v>0</v>
      </c>
    </row>
    <row r="60" spans="7:9" ht="15">
      <c r="G60" s="71">
        <v>49</v>
      </c>
      <c r="H60" s="72">
        <f t="shared" si="0"/>
        <v>0</v>
      </c>
      <c r="I60" s="73">
        <f t="shared" si="1"/>
        <v>0</v>
      </c>
    </row>
    <row r="61" spans="7:9" ht="15">
      <c r="G61" s="71">
        <v>50</v>
      </c>
      <c r="H61" s="72">
        <f t="shared" si="0"/>
        <v>0</v>
      </c>
      <c r="I61" s="73">
        <f t="shared" si="1"/>
        <v>0</v>
      </c>
    </row>
    <row r="62" spans="7:9" ht="15">
      <c r="G62" s="71">
        <v>51</v>
      </c>
      <c r="H62" s="72">
        <f t="shared" si="0"/>
        <v>0</v>
      </c>
      <c r="I62" s="73">
        <f t="shared" si="1"/>
        <v>0</v>
      </c>
    </row>
    <row r="63" spans="7:9" ht="15">
      <c r="G63" s="71">
        <v>52</v>
      </c>
      <c r="H63" s="72">
        <f t="shared" si="0"/>
        <v>0</v>
      </c>
      <c r="I63" s="73">
        <f t="shared" si="1"/>
        <v>0</v>
      </c>
    </row>
    <row r="64" spans="7:9" ht="15">
      <c r="G64" s="71">
        <v>53</v>
      </c>
      <c r="H64" s="72">
        <f t="shared" si="0"/>
        <v>0</v>
      </c>
      <c r="I64" s="73">
        <f t="shared" si="1"/>
        <v>0</v>
      </c>
    </row>
    <row r="65" spans="7:9" ht="15">
      <c r="G65" s="71">
        <v>54</v>
      </c>
      <c r="H65" s="72">
        <f t="shared" si="0"/>
        <v>0</v>
      </c>
      <c r="I65" s="73">
        <f t="shared" si="1"/>
        <v>0</v>
      </c>
    </row>
    <row r="66" spans="7:9" ht="15">
      <c r="G66" s="71">
        <v>55</v>
      </c>
      <c r="H66" s="72">
        <f t="shared" si="0"/>
        <v>0</v>
      </c>
      <c r="I66" s="73">
        <f t="shared" si="1"/>
        <v>0</v>
      </c>
    </row>
    <row r="67" spans="7:9" ht="15">
      <c r="G67" s="71">
        <v>56</v>
      </c>
      <c r="H67" s="72">
        <f t="shared" si="0"/>
        <v>0</v>
      </c>
      <c r="I67" s="73">
        <f t="shared" si="1"/>
        <v>0</v>
      </c>
    </row>
    <row r="68" spans="7:9" ht="15">
      <c r="G68" s="71">
        <v>57</v>
      </c>
      <c r="H68" s="72">
        <f t="shared" si="0"/>
        <v>0</v>
      </c>
      <c r="I68" s="73">
        <f t="shared" si="1"/>
        <v>0</v>
      </c>
    </row>
    <row r="69" spans="7:9" ht="15">
      <c r="G69" s="71">
        <v>58</v>
      </c>
      <c r="H69" s="72">
        <f t="shared" si="0"/>
        <v>0</v>
      </c>
      <c r="I69" s="73">
        <f t="shared" si="1"/>
        <v>0</v>
      </c>
    </row>
    <row r="70" spans="7:9" ht="15">
      <c r="G70" s="71">
        <v>59</v>
      </c>
      <c r="H70" s="72">
        <f t="shared" si="0"/>
        <v>0</v>
      </c>
      <c r="I70" s="73">
        <f t="shared" si="1"/>
        <v>0</v>
      </c>
    </row>
    <row r="71" spans="7:9" ht="15">
      <c r="G71" s="71">
        <v>60</v>
      </c>
      <c r="H71" s="72">
        <f t="shared" si="0"/>
        <v>0</v>
      </c>
      <c r="I71" s="73">
        <f t="shared" si="1"/>
        <v>0</v>
      </c>
    </row>
    <row r="72" spans="7:9" ht="15">
      <c r="G72" s="71">
        <v>61</v>
      </c>
      <c r="H72" s="72">
        <f t="shared" si="0"/>
        <v>0</v>
      </c>
      <c r="I72" s="73">
        <f t="shared" si="1"/>
        <v>0</v>
      </c>
    </row>
    <row r="73" spans="7:9" ht="15">
      <c r="G73" s="71">
        <v>62</v>
      </c>
      <c r="H73" s="72">
        <f t="shared" si="0"/>
        <v>0</v>
      </c>
      <c r="I73" s="73">
        <f t="shared" si="1"/>
        <v>0</v>
      </c>
    </row>
    <row r="74" spans="7:9" ht="15">
      <c r="G74" s="71">
        <v>63</v>
      </c>
      <c r="H74" s="72">
        <f t="shared" si="0"/>
        <v>0</v>
      </c>
      <c r="I74" s="73">
        <f t="shared" si="1"/>
        <v>0</v>
      </c>
    </row>
    <row r="75" spans="7:9" ht="15">
      <c r="G75" s="71">
        <v>64</v>
      </c>
      <c r="H75" s="72">
        <f t="shared" si="0"/>
        <v>0</v>
      </c>
      <c r="I75" s="73">
        <f t="shared" si="1"/>
        <v>0</v>
      </c>
    </row>
    <row r="76" spans="7:9" ht="15">
      <c r="G76" s="71">
        <v>65</v>
      </c>
      <c r="H76" s="72">
        <f t="shared" si="0"/>
        <v>0</v>
      </c>
      <c r="I76" s="73">
        <f t="shared" si="1"/>
        <v>0</v>
      </c>
    </row>
    <row r="77" spans="7:9" ht="15">
      <c r="G77" s="71">
        <v>66</v>
      </c>
      <c r="H77" s="72">
        <f t="shared" si="0"/>
        <v>0</v>
      </c>
      <c r="I77" s="73">
        <f t="shared" si="1"/>
        <v>0</v>
      </c>
    </row>
    <row r="78" spans="7:9" ht="15">
      <c r="G78" s="71">
        <v>67</v>
      </c>
      <c r="H78" s="72">
        <f t="shared" si="0"/>
        <v>0</v>
      </c>
      <c r="I78" s="73">
        <f t="shared" si="1"/>
        <v>0</v>
      </c>
    </row>
    <row r="79" spans="7:9" ht="15">
      <c r="G79" s="71">
        <v>68</v>
      </c>
      <c r="H79" s="72">
        <f t="shared" si="0"/>
        <v>0</v>
      </c>
      <c r="I79" s="73">
        <f t="shared" si="1"/>
        <v>0</v>
      </c>
    </row>
    <row r="80" spans="7:9" ht="15">
      <c r="G80" s="71">
        <v>69</v>
      </c>
      <c r="H80" s="72">
        <f t="shared" si="0"/>
        <v>0</v>
      </c>
      <c r="I80" s="73">
        <f t="shared" si="1"/>
        <v>0</v>
      </c>
    </row>
    <row r="81" spans="7:9" ht="15">
      <c r="G81" s="71">
        <v>70</v>
      </c>
      <c r="H81" s="72">
        <f t="shared" si="0"/>
        <v>0</v>
      </c>
      <c r="I81" s="73">
        <f t="shared" si="1"/>
        <v>0</v>
      </c>
    </row>
    <row r="82" spans="7:9" ht="15">
      <c r="G82" s="71">
        <v>71</v>
      </c>
      <c r="H82" s="72">
        <f t="shared" si="0"/>
        <v>0</v>
      </c>
      <c r="I82" s="73">
        <f t="shared" si="1"/>
        <v>0</v>
      </c>
    </row>
    <row r="83" spans="7:9" ht="15">
      <c r="G83" s="71">
        <v>72</v>
      </c>
      <c r="H83" s="72">
        <f t="shared" si="0"/>
        <v>0</v>
      </c>
      <c r="I83" s="73">
        <f t="shared" si="1"/>
        <v>0</v>
      </c>
    </row>
    <row r="84" spans="7:9" ht="15">
      <c r="G84" s="71">
        <v>73</v>
      </c>
      <c r="H84" s="72">
        <f t="shared" si="0"/>
        <v>0</v>
      </c>
      <c r="I84" s="73">
        <f t="shared" si="1"/>
        <v>0</v>
      </c>
    </row>
    <row r="85" spans="7:9" ht="15">
      <c r="G85" s="71">
        <v>74</v>
      </c>
      <c r="H85" s="72">
        <f t="shared" si="0"/>
        <v>0</v>
      </c>
      <c r="I85" s="73">
        <f t="shared" si="1"/>
        <v>0</v>
      </c>
    </row>
    <row r="86" spans="7:9" ht="15">
      <c r="G86" s="71">
        <v>75</v>
      </c>
      <c r="H86" s="72">
        <f t="shared" si="0"/>
        <v>0</v>
      </c>
      <c r="I86" s="73">
        <f t="shared" si="1"/>
        <v>0</v>
      </c>
    </row>
    <row r="87" spans="7:9" ht="15">
      <c r="G87" s="71">
        <v>76</v>
      </c>
      <c r="H87" s="72">
        <f t="shared" si="0"/>
        <v>0</v>
      </c>
      <c r="I87" s="73">
        <f t="shared" si="1"/>
        <v>0</v>
      </c>
    </row>
    <row r="88" spans="7:9" ht="15">
      <c r="G88" s="71">
        <v>77</v>
      </c>
      <c r="H88" s="72">
        <f t="shared" si="0"/>
        <v>0</v>
      </c>
      <c r="I88" s="73">
        <f t="shared" si="1"/>
        <v>0</v>
      </c>
    </row>
    <row r="89" spans="7:9" ht="15">
      <c r="G89" s="71">
        <v>78</v>
      </c>
      <c r="H89" s="72">
        <f t="shared" si="0"/>
        <v>0</v>
      </c>
      <c r="I89" s="73">
        <f t="shared" si="1"/>
        <v>0</v>
      </c>
    </row>
    <row r="90" spans="7:9" ht="15">
      <c r="G90" s="71">
        <v>79</v>
      </c>
      <c r="H90" s="72">
        <f t="shared" si="0"/>
        <v>0</v>
      </c>
      <c r="I90" s="73">
        <f t="shared" si="1"/>
        <v>0</v>
      </c>
    </row>
    <row r="91" spans="7:9" ht="15">
      <c r="G91" s="71">
        <v>80</v>
      </c>
      <c r="H91" s="72">
        <f t="shared" si="0"/>
        <v>0</v>
      </c>
      <c r="I91" s="73">
        <f t="shared" si="1"/>
        <v>0</v>
      </c>
    </row>
    <row r="92" spans="7:9" ht="15">
      <c r="G92" s="71">
        <v>81</v>
      </c>
      <c r="H92" s="72">
        <f t="shared" si="0"/>
        <v>0</v>
      </c>
      <c r="I92" s="73">
        <f t="shared" si="1"/>
        <v>0</v>
      </c>
    </row>
    <row r="93" spans="7:9" ht="15">
      <c r="G93" s="71">
        <v>82</v>
      </c>
      <c r="H93" s="72">
        <f t="shared" si="0"/>
        <v>0</v>
      </c>
      <c r="I93" s="73">
        <f t="shared" si="1"/>
        <v>0</v>
      </c>
    </row>
    <row r="94" spans="7:9" ht="15">
      <c r="G94" s="71">
        <v>83</v>
      </c>
      <c r="H94" s="72">
        <f t="shared" si="0"/>
        <v>0</v>
      </c>
      <c r="I94" s="73">
        <f t="shared" si="1"/>
        <v>0</v>
      </c>
    </row>
    <row r="95" spans="7:9" ht="15">
      <c r="G95" s="71">
        <v>84</v>
      </c>
      <c r="H95" s="72">
        <f t="shared" si="0"/>
        <v>0</v>
      </c>
      <c r="I95" s="73">
        <f t="shared" si="1"/>
        <v>0</v>
      </c>
    </row>
    <row r="96" spans="7:9" ht="15">
      <c r="G96" s="71">
        <v>85</v>
      </c>
      <c r="H96" s="72">
        <f t="shared" si="0"/>
        <v>0</v>
      </c>
      <c r="I96" s="73">
        <f t="shared" si="1"/>
        <v>0</v>
      </c>
    </row>
    <row r="97" spans="7:9" ht="15">
      <c r="G97" s="71">
        <v>86</v>
      </c>
      <c r="H97" s="72">
        <f t="shared" si="0"/>
        <v>0</v>
      </c>
      <c r="I97" s="73">
        <f t="shared" si="1"/>
        <v>0</v>
      </c>
    </row>
    <row r="98" spans="7:9" ht="15">
      <c r="G98" s="71">
        <v>87</v>
      </c>
      <c r="H98" s="72">
        <f t="shared" si="0"/>
        <v>0</v>
      </c>
      <c r="I98" s="73">
        <f t="shared" si="1"/>
        <v>0</v>
      </c>
    </row>
    <row r="99" spans="7:9" ht="15">
      <c r="G99" s="71">
        <v>88</v>
      </c>
      <c r="H99" s="72">
        <f t="shared" si="0"/>
        <v>0</v>
      </c>
      <c r="I99" s="73">
        <f t="shared" si="1"/>
        <v>0</v>
      </c>
    </row>
    <row r="100" spans="7:9" ht="15">
      <c r="G100" s="71">
        <v>89</v>
      </c>
      <c r="H100" s="72">
        <f t="shared" si="0"/>
        <v>0</v>
      </c>
      <c r="I100" s="73">
        <f t="shared" si="1"/>
        <v>0</v>
      </c>
    </row>
    <row r="101" spans="7:9" ht="15">
      <c r="G101" s="71">
        <v>90</v>
      </c>
      <c r="H101" s="72">
        <f t="shared" si="0"/>
        <v>0</v>
      </c>
      <c r="I101" s="73">
        <f t="shared" si="1"/>
        <v>0</v>
      </c>
    </row>
    <row r="102" spans="7:9" ht="15">
      <c r="G102" s="71">
        <v>91</v>
      </c>
      <c r="H102" s="72">
        <f t="shared" si="0"/>
        <v>0</v>
      </c>
      <c r="I102" s="73">
        <f t="shared" si="1"/>
        <v>0</v>
      </c>
    </row>
    <row r="103" spans="7:9" ht="15">
      <c r="G103" s="71">
        <v>92</v>
      </c>
      <c r="H103" s="72">
        <f t="shared" si="0"/>
        <v>0</v>
      </c>
      <c r="I103" s="73">
        <f t="shared" si="1"/>
        <v>0</v>
      </c>
    </row>
    <row r="104" spans="7:9" ht="15">
      <c r="G104" s="71">
        <v>93</v>
      </c>
      <c r="H104" s="72">
        <f t="shared" si="0"/>
        <v>0</v>
      </c>
      <c r="I104" s="73">
        <f t="shared" si="1"/>
        <v>0</v>
      </c>
    </row>
    <row r="105" spans="7:9" ht="15">
      <c r="G105" s="71">
        <v>94</v>
      </c>
      <c r="H105" s="72">
        <f t="shared" si="0"/>
        <v>0</v>
      </c>
      <c r="I105" s="73">
        <f t="shared" si="1"/>
        <v>0</v>
      </c>
    </row>
    <row r="106" spans="7:9" ht="15">
      <c r="G106" s="71">
        <v>95</v>
      </c>
      <c r="H106" s="72">
        <f t="shared" si="0"/>
        <v>0</v>
      </c>
      <c r="I106" s="73">
        <f t="shared" si="1"/>
        <v>0</v>
      </c>
    </row>
    <row r="107" spans="7:9" ht="15">
      <c r="G107" s="71">
        <v>96</v>
      </c>
      <c r="H107" s="72">
        <f t="shared" si="0"/>
        <v>0</v>
      </c>
      <c r="I107" s="73">
        <f t="shared" si="1"/>
        <v>0</v>
      </c>
    </row>
    <row r="108" spans="7:9" ht="15">
      <c r="G108" s="71">
        <v>97</v>
      </c>
      <c r="H108" s="72">
        <f t="shared" si="0"/>
        <v>0</v>
      </c>
      <c r="I108" s="73">
        <f t="shared" si="1"/>
        <v>0</v>
      </c>
    </row>
    <row r="109" spans="7:9" ht="15">
      <c r="G109" s="71">
        <v>98</v>
      </c>
      <c r="H109" s="72">
        <f t="shared" si="0"/>
        <v>0</v>
      </c>
      <c r="I109" s="73">
        <f t="shared" si="1"/>
        <v>0</v>
      </c>
    </row>
    <row r="110" spans="7:9" ht="15">
      <c r="G110" s="71">
        <v>99</v>
      </c>
      <c r="H110" s="72">
        <f t="shared" si="0"/>
        <v>0</v>
      </c>
      <c r="I110" s="73">
        <f t="shared" si="1"/>
        <v>0</v>
      </c>
    </row>
    <row r="111" spans="7:9" ht="15">
      <c r="G111" s="71">
        <v>100</v>
      </c>
      <c r="H111" s="72">
        <f>IF(G111&lt;=$C$5,((#REF!-1)*-$C$7)+$C$3,0)</f>
        <v>0</v>
      </c>
      <c r="I111" s="73">
        <f t="shared" si="1"/>
        <v>0</v>
      </c>
    </row>
  </sheetData>
  <sheetProtection password="CC7A" sheet="1" selectLockedCells="1"/>
  <mergeCells count="4">
    <mergeCell ref="B2:D2"/>
    <mergeCell ref="G2:G3"/>
    <mergeCell ref="H2:H3"/>
    <mergeCell ref="I2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X24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2" sqref="C2"/>
    </sheetView>
  </sheetViews>
  <sheetFormatPr defaultColWidth="9.140625" defaultRowHeight="15"/>
  <cols>
    <col min="1" max="1" width="2.140625" style="100" customWidth="1"/>
    <col min="2" max="2" width="46.00390625" style="100" customWidth="1"/>
    <col min="3" max="3" width="9.140625" style="100" customWidth="1"/>
    <col min="4" max="4" width="8.421875" style="100" customWidth="1"/>
    <col min="5" max="6" width="2.140625" style="100" customWidth="1"/>
    <col min="7" max="12" width="9.140625" style="100" customWidth="1"/>
    <col min="13" max="13" width="15.140625" style="100" customWidth="1"/>
    <col min="14" max="16384" width="9.140625" style="100" customWidth="1"/>
  </cols>
  <sheetData>
    <row r="1" spans="2:24" ht="7.5" customHeight="1">
      <c r="B1" s="101"/>
      <c r="C1" s="101"/>
      <c r="D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30" customHeight="1">
      <c r="A2" s="103"/>
      <c r="B2" s="104" t="s">
        <v>51</v>
      </c>
      <c r="C2" s="105">
        <v>5</v>
      </c>
      <c r="D2" s="106" t="s">
        <v>6</v>
      </c>
      <c r="G2" s="102"/>
      <c r="H2" s="102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30.75" customHeight="1">
      <c r="A3" s="103"/>
      <c r="B3" s="104" t="s">
        <v>52</v>
      </c>
      <c r="C3" s="105">
        <v>5</v>
      </c>
      <c r="D3" s="106" t="s">
        <v>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5">
      <c r="A4" s="103"/>
      <c r="B4" s="108" t="s">
        <v>53</v>
      </c>
      <c r="C4" s="105">
        <v>5</v>
      </c>
      <c r="D4" s="109" t="s">
        <v>6</v>
      </c>
      <c r="G4" s="102"/>
      <c r="H4" s="102"/>
      <c r="I4" s="107"/>
      <c r="J4" s="102"/>
      <c r="K4" s="102"/>
      <c r="L4" s="102"/>
      <c r="M4" s="102"/>
      <c r="N4" s="102"/>
      <c r="O4" s="107"/>
      <c r="P4" s="102"/>
      <c r="Q4" s="102"/>
      <c r="R4" s="102"/>
      <c r="S4" s="102"/>
      <c r="T4" s="102"/>
      <c r="U4" s="107"/>
      <c r="V4" s="102"/>
      <c r="W4" s="102"/>
      <c r="X4" s="102"/>
    </row>
    <row r="5" spans="1:24" ht="15.75">
      <c r="A5" s="103"/>
      <c r="B5" s="110" t="s">
        <v>54</v>
      </c>
      <c r="C5" s="110"/>
      <c r="D5" s="110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7:24" ht="7.5" customHeight="1"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ht="7.5" customHeight="1"/>
    <row r="8" spans="7:13" ht="15">
      <c r="G8" s="111" t="s">
        <v>55</v>
      </c>
      <c r="H8" s="111"/>
      <c r="I8" s="111"/>
      <c r="J8" s="111"/>
      <c r="K8" s="111"/>
      <c r="L8" s="111"/>
      <c r="M8" s="111"/>
    </row>
    <row r="9" spans="7:13" ht="15">
      <c r="G9" s="111" t="s">
        <v>15</v>
      </c>
      <c r="H9" s="111"/>
      <c r="I9" s="111"/>
      <c r="J9" s="111"/>
      <c r="K9" s="111"/>
      <c r="L9" s="111"/>
      <c r="M9" s="112">
        <f>CONCATENATE(ROUND(SQRT(C2/4.9),1),"s")</f>
        <v>0</v>
      </c>
    </row>
    <row r="10" spans="7:13" ht="15">
      <c r="G10" s="113">
        <f>CONCATENATE(C2," = (0)(t) + (1/2)(",Setup!$C$2,")(t^2)")</f>
        <v>0</v>
      </c>
      <c r="H10" s="113"/>
      <c r="I10" s="113"/>
      <c r="J10" s="113"/>
      <c r="K10" s="113"/>
      <c r="L10" s="113"/>
      <c r="M10" s="112"/>
    </row>
    <row r="11" spans="7:13" ht="15">
      <c r="G11" s="113">
        <f>CONCATENATE(C2," = (",Setup!$C$2/2,")(t^2)")</f>
        <v>0</v>
      </c>
      <c r="H11" s="113"/>
      <c r="I11" s="113"/>
      <c r="J11" s="113"/>
      <c r="K11" s="113"/>
      <c r="L11" s="113"/>
      <c r="M11" s="112"/>
    </row>
    <row r="12" spans="7:13" ht="15">
      <c r="G12" s="113">
        <f>CONCATENATE(C2,"/",Setup!$C$2/2," = t^2")</f>
        <v>0</v>
      </c>
      <c r="H12" s="113"/>
      <c r="I12" s="113"/>
      <c r="J12" s="113"/>
      <c r="K12" s="113"/>
      <c r="L12" s="113"/>
      <c r="M12" s="112"/>
    </row>
    <row r="13" spans="7:13" ht="15">
      <c r="G13" s="113">
        <f>CONCATENATE(ROUND(C2/4.9,2)," = t^2")</f>
        <v>0</v>
      </c>
      <c r="H13" s="113"/>
      <c r="I13" s="113"/>
      <c r="J13" s="113"/>
      <c r="K13" s="113"/>
      <c r="L13" s="113"/>
      <c r="M13" s="112"/>
    </row>
    <row r="14" spans="7:13" ht="15">
      <c r="G14" s="113">
        <f>CONCATENATE(ROUND(SQRT(C2/4.9),2)," = t")</f>
        <v>0</v>
      </c>
      <c r="H14" s="113"/>
      <c r="I14" s="113"/>
      <c r="J14" s="113"/>
      <c r="K14" s="113"/>
      <c r="L14" s="113"/>
      <c r="M14" s="112"/>
    </row>
    <row r="16" spans="7:13" ht="15">
      <c r="G16" s="111" t="s">
        <v>56</v>
      </c>
      <c r="H16" s="111"/>
      <c r="I16" s="111"/>
      <c r="J16" s="111"/>
      <c r="K16" s="111"/>
      <c r="L16" s="111"/>
      <c r="M16" s="111"/>
    </row>
    <row r="17" spans="7:13" ht="15">
      <c r="G17" s="111" t="s">
        <v>15</v>
      </c>
      <c r="H17" s="111"/>
      <c r="I17" s="111"/>
      <c r="J17" s="111"/>
      <c r="K17" s="111"/>
      <c r="L17" s="111"/>
      <c r="M17" s="112">
        <f>CONCATENATE(C3*ROUND(SQRT(C2/4.9),1),"m")</f>
        <v>0</v>
      </c>
    </row>
    <row r="18" spans="7:13" ht="15">
      <c r="G18" s="113">
        <f>CONCATENATE("d = (",C3,")(",ROUND(SQRT(C2/4.9),1),") + (1/2)(0)(",ROUND(SQRT(C2/4.9),1),")^2")</f>
        <v>0</v>
      </c>
      <c r="H18" s="113"/>
      <c r="I18" s="113"/>
      <c r="J18" s="113"/>
      <c r="K18" s="113"/>
      <c r="L18" s="113"/>
      <c r="M18" s="112"/>
    </row>
    <row r="19" spans="7:13" ht="15">
      <c r="G19" s="113">
        <f>CONCATENATE("d = (",C3,")(",ROUND(SQRT(C2/4.9),1),")")</f>
        <v>0</v>
      </c>
      <c r="H19" s="113"/>
      <c r="I19" s="113"/>
      <c r="J19" s="113"/>
      <c r="K19" s="113"/>
      <c r="L19" s="113"/>
      <c r="M19" s="112"/>
    </row>
    <row r="20" spans="7:13" ht="15">
      <c r="G20" s="113">
        <f>CONCATENATE("d = ",C3*ROUND(SQRT(C2/4.9),1))</f>
        <v>0</v>
      </c>
      <c r="H20" s="113"/>
      <c r="I20" s="113"/>
      <c r="J20" s="113"/>
      <c r="K20" s="113"/>
      <c r="L20" s="113"/>
      <c r="M20" s="112"/>
    </row>
    <row r="22" spans="7:13" ht="15">
      <c r="G22" s="111" t="s">
        <v>57</v>
      </c>
      <c r="H22" s="111"/>
      <c r="I22" s="111"/>
      <c r="J22" s="111"/>
      <c r="K22" s="111"/>
      <c r="L22" s="111"/>
      <c r="M22" s="111"/>
    </row>
    <row r="23" spans="7:13" ht="51" customHeight="1">
      <c r="G23" s="114">
        <f>CONCATENATE(ABS(C3*ROUND(SQRT(C2/4.9),1)-C4),"m")</f>
        <v>0</v>
      </c>
      <c r="H23" s="114"/>
      <c r="I23" s="114"/>
      <c r="J23" s="114"/>
      <c r="K23" s="114"/>
      <c r="L23" s="114"/>
      <c r="M23" s="114"/>
    </row>
    <row r="24" spans="7:13" ht="15">
      <c r="G24" s="115">
        <f>IF(C3*ROUND(SQRT(C2/4.9),1)-C4=0,"(exactly on the motorcycle)",IF(C3*ROUND(SQRT(C2/4.9),1)-C4&gt;0,"behind the motorcycle","in front of the motorcycle"))</f>
        <v>0</v>
      </c>
      <c r="H24" s="115"/>
      <c r="I24" s="115"/>
      <c r="J24" s="115"/>
      <c r="K24" s="115"/>
      <c r="L24" s="115"/>
      <c r="M24" s="115"/>
    </row>
  </sheetData>
  <sheetProtection password="CC7A" sheet="1" selectLockedCells="1"/>
  <mergeCells count="18">
    <mergeCell ref="B5:D5"/>
    <mergeCell ref="G8:M8"/>
    <mergeCell ref="G9:L9"/>
    <mergeCell ref="M9:M14"/>
    <mergeCell ref="G10:L10"/>
    <mergeCell ref="G11:L11"/>
    <mergeCell ref="G12:L12"/>
    <mergeCell ref="G13:L13"/>
    <mergeCell ref="G14:L14"/>
    <mergeCell ref="G16:M16"/>
    <mergeCell ref="G17:L17"/>
    <mergeCell ref="M17:M20"/>
    <mergeCell ref="G18:L18"/>
    <mergeCell ref="G19:L19"/>
    <mergeCell ref="G20:L20"/>
    <mergeCell ref="G22:M22"/>
    <mergeCell ref="G23:M23"/>
    <mergeCell ref="G24:M2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B1:H36"/>
  <sheetViews>
    <sheetView workbookViewId="0" topLeftCell="A1">
      <pane ySplit="6" topLeftCell="A7" activePane="bottomLeft" state="frozen"/>
      <selection pane="topLeft" activeCell="A1" sqref="A1"/>
      <selection pane="bottomLeft" activeCell="M33" sqref="M33"/>
    </sheetView>
  </sheetViews>
  <sheetFormatPr defaultColWidth="9.140625" defaultRowHeight="15"/>
  <cols>
    <col min="1" max="1" width="2.140625" style="58" customWidth="1"/>
    <col min="2" max="2" width="5.00390625" style="116" customWidth="1"/>
    <col min="3" max="3" width="13.00390625" style="116" customWidth="1"/>
    <col min="4" max="4" width="9.8515625" style="116" customWidth="1"/>
    <col min="5" max="5" width="22.140625" style="116" customWidth="1"/>
    <col min="6" max="6" width="9.140625" style="58" customWidth="1"/>
    <col min="7" max="7" width="17.28125" style="58" customWidth="1"/>
    <col min="8" max="8" width="5.7109375" style="58" customWidth="1"/>
    <col min="9" max="9" width="2.140625" style="58" customWidth="1"/>
    <col min="10" max="16384" width="9.140625" style="58" customWidth="1"/>
  </cols>
  <sheetData>
    <row r="1" spans="2:7" ht="3.75" customHeight="1">
      <c r="B1" s="117"/>
      <c r="C1" s="117"/>
      <c r="D1" s="117"/>
      <c r="E1" s="117"/>
      <c r="F1" s="118"/>
      <c r="G1" s="118"/>
    </row>
    <row r="2" spans="2:7" ht="15">
      <c r="B2" s="119" t="s">
        <v>58</v>
      </c>
      <c r="C2" s="119"/>
      <c r="D2" s="119"/>
      <c r="E2" s="119"/>
      <c r="F2" s="120">
        <v>78.4</v>
      </c>
      <c r="G2" s="121" t="s">
        <v>59</v>
      </c>
    </row>
    <row r="3" spans="2:7" ht="15">
      <c r="B3" s="122" t="s">
        <v>60</v>
      </c>
      <c r="C3" s="122"/>
      <c r="D3" s="122"/>
      <c r="E3" s="122"/>
      <c r="F3" s="123">
        <v>5</v>
      </c>
      <c r="G3" s="124" t="s">
        <v>61</v>
      </c>
    </row>
    <row r="4" spans="2:7" ht="15">
      <c r="B4" s="122" t="s">
        <v>62</v>
      </c>
      <c r="C4" s="122"/>
      <c r="D4" s="122"/>
      <c r="E4" s="122"/>
      <c r="F4" s="123">
        <v>0</v>
      </c>
      <c r="G4" s="124" t="s">
        <v>61</v>
      </c>
    </row>
    <row r="5" spans="2:7" ht="15.75">
      <c r="B5" s="125" t="s">
        <v>63</v>
      </c>
      <c r="C5" s="125"/>
      <c r="D5" s="126">
        <v>20</v>
      </c>
      <c r="E5" s="127" t="s">
        <v>64</v>
      </c>
      <c r="F5" s="127"/>
      <c r="G5" s="127"/>
    </row>
    <row r="6" ht="7.5" customHeight="1"/>
    <row r="7" ht="7.5" customHeight="1"/>
    <row r="8" spans="3:8" ht="15.75">
      <c r="C8" s="128" t="s">
        <v>65</v>
      </c>
      <c r="D8" s="128"/>
      <c r="E8" s="128"/>
      <c r="F8" s="128"/>
      <c r="G8" s="128"/>
      <c r="H8" s="128"/>
    </row>
    <row r="9" spans="3:8" ht="27.75" customHeight="1">
      <c r="C9" s="129" t="s">
        <v>66</v>
      </c>
      <c r="D9" s="129"/>
      <c r="E9" s="129"/>
      <c r="F9" s="129"/>
      <c r="G9" s="129"/>
      <c r="H9" s="130">
        <f>CONCATENATE(ROUND(SQRT(F2*2/9.8),1),"s")</f>
        <v>0</v>
      </c>
    </row>
    <row r="10" spans="3:8" ht="15">
      <c r="C10" s="131">
        <f>CONCATENATE(F2," = (0)t + (1/2)(9.8)(t^2)")</f>
        <v>0</v>
      </c>
      <c r="D10" s="131"/>
      <c r="E10" s="131"/>
      <c r="F10" s="131"/>
      <c r="G10" s="131"/>
      <c r="H10" s="130"/>
    </row>
    <row r="11" spans="3:8" ht="15">
      <c r="C11" s="131">
        <f>CONCATENATE(F2," = (1/2)(9.8)(t^2)")</f>
        <v>0</v>
      </c>
      <c r="D11" s="131"/>
      <c r="E11" s="131"/>
      <c r="F11" s="131"/>
      <c r="G11" s="131"/>
      <c r="H11" s="130"/>
    </row>
    <row r="12" spans="3:8" ht="15">
      <c r="C12" s="131">
        <f>CONCATENATE("2(",F2,")/9.8 = t^2")</f>
        <v>0</v>
      </c>
      <c r="D12" s="131"/>
      <c r="E12" s="131"/>
      <c r="F12" s="131"/>
      <c r="G12" s="131"/>
      <c r="H12" s="130"/>
    </row>
    <row r="13" spans="3:8" ht="15">
      <c r="C13" s="131">
        <f>CONCATENATE(ROUND(F2*2/9.8,1)," = t^2")</f>
        <v>0</v>
      </c>
      <c r="D13" s="131"/>
      <c r="E13" s="131"/>
      <c r="F13" s="131"/>
      <c r="G13" s="131"/>
      <c r="H13" s="130"/>
    </row>
    <row r="14" spans="3:8" ht="15">
      <c r="C14" s="131">
        <f>CONCATENATE(ROUND(SQRT(F2*2/9.8),1)," = t")</f>
        <v>0</v>
      </c>
      <c r="D14" s="131"/>
      <c r="E14" s="131"/>
      <c r="F14" s="131"/>
      <c r="G14" s="131"/>
      <c r="H14" s="130"/>
    </row>
    <row r="16" spans="3:8" ht="15.75">
      <c r="C16" s="132" t="s">
        <v>67</v>
      </c>
      <c r="D16" s="132"/>
      <c r="E16" s="132"/>
      <c r="F16" s="132"/>
      <c r="G16" s="132"/>
      <c r="H16" s="132"/>
    </row>
    <row r="17" spans="3:8" ht="27.75" customHeight="1">
      <c r="C17" s="129" t="s">
        <v>66</v>
      </c>
      <c r="D17" s="129"/>
      <c r="E17" s="129"/>
      <c r="F17" s="129"/>
      <c r="G17" s="129"/>
      <c r="H17" s="130">
        <f>CONCATENATE(F3*ROUND(SQRT(F2*2/9.8),1),"m")</f>
        <v>0</v>
      </c>
    </row>
    <row r="18" spans="3:8" ht="15.75">
      <c r="C18" s="131">
        <f>CONCATENATE("d = (",F3,")(",ROUND(SQRT(F2*2/9.8),1),") + (1/2)(0)(",ROUND(SQRT(F2*2/9.8),1),")^2")</f>
        <v>0</v>
      </c>
      <c r="D18" s="131"/>
      <c r="E18" s="131"/>
      <c r="F18" s="131"/>
      <c r="G18" s="131"/>
      <c r="H18" s="130"/>
    </row>
    <row r="19" spans="3:8" ht="15.75">
      <c r="C19" s="131">
        <f>CONCATENATE("d = (",F3,")(",ROUND(SQRT(F2*2/9.8),1),")")</f>
        <v>0</v>
      </c>
      <c r="D19" s="131"/>
      <c r="E19" s="131"/>
      <c r="F19" s="131"/>
      <c r="G19" s="131"/>
      <c r="H19" s="130"/>
    </row>
    <row r="20" spans="3:8" ht="15.75">
      <c r="C20" s="131">
        <f>CONCATENATE("d = ",F3*ROUND(SQRT(F2*2/9.8),1))</f>
        <v>0</v>
      </c>
      <c r="D20" s="131"/>
      <c r="E20" s="131"/>
      <c r="F20" s="131"/>
      <c r="G20" s="131"/>
      <c r="H20" s="130"/>
    </row>
    <row r="22" spans="3:8" ht="15.75">
      <c r="C22" s="132" t="s">
        <v>68</v>
      </c>
      <c r="D22" s="132"/>
      <c r="E22" s="132"/>
      <c r="F22" s="132"/>
      <c r="G22" s="132"/>
      <c r="H22" s="132"/>
    </row>
    <row r="23" spans="3:8" ht="27.75" customHeight="1">
      <c r="C23" s="129" t="s">
        <v>66</v>
      </c>
      <c r="D23" s="129"/>
      <c r="E23" s="129"/>
      <c r="F23" s="129"/>
      <c r="G23" s="129"/>
      <c r="H23" s="130">
        <f>CONCATENATE(F4*ROUND(SQRT(F2*2/9.8),1),"m")</f>
        <v>0</v>
      </c>
    </row>
    <row r="24" spans="3:8" ht="15">
      <c r="C24" s="131">
        <f>CONCATENATE("d = (",F4,")(",ROUND(SQRT(F2*2/9.8),1),") + (1/2)(0)(",ROUND(SQRT(F2*2/9.8),1),")^2")</f>
        <v>0</v>
      </c>
      <c r="D24" s="131"/>
      <c r="E24" s="131"/>
      <c r="F24" s="131"/>
      <c r="G24" s="131"/>
      <c r="H24" s="130"/>
    </row>
    <row r="25" spans="3:8" ht="15">
      <c r="C25" s="131">
        <f>CONCATENATE("d = (",F4,")(",ROUND(SQRT(F2*2/9.8),1),")")</f>
        <v>0</v>
      </c>
      <c r="D25" s="131"/>
      <c r="E25" s="131"/>
      <c r="F25" s="131"/>
      <c r="G25" s="131"/>
      <c r="H25" s="130"/>
    </row>
    <row r="26" spans="3:8" ht="15">
      <c r="C26" s="131">
        <f>CONCATENATE("d = ",F4*ROUND(SQRT(F2*2/9.8),1))</f>
        <v>0</v>
      </c>
      <c r="D26" s="131"/>
      <c r="E26" s="131"/>
      <c r="F26" s="131"/>
      <c r="G26" s="131"/>
      <c r="H26" s="130"/>
    </row>
    <row r="28" spans="3:8" ht="15.75">
      <c r="C28" s="132" t="s">
        <v>69</v>
      </c>
      <c r="D28" s="132"/>
      <c r="E28" s="132"/>
      <c r="F28" s="132"/>
      <c r="G28" s="132"/>
      <c r="H28" s="132"/>
    </row>
    <row r="29" spans="3:8" ht="27.75" customHeight="1">
      <c r="C29" s="129" t="s">
        <v>70</v>
      </c>
      <c r="D29" s="129"/>
      <c r="E29" s="129"/>
      <c r="F29" s="129"/>
      <c r="G29" s="129"/>
      <c r="H29" s="130">
        <f>CONCATENATE(D5-(F4*ROUND(SQRT(F2*2/9.8),1)),"m")</f>
        <v>0</v>
      </c>
    </row>
    <row r="30" spans="3:8" ht="15">
      <c r="C30" s="131">
        <f>CONCATENATE("distance[FINAL] = ",D5," - ",F4*ROUND(SQRT(F2*2/9.8),1))</f>
        <v>0</v>
      </c>
      <c r="D30" s="131"/>
      <c r="E30" s="131"/>
      <c r="F30" s="131"/>
      <c r="G30" s="131"/>
      <c r="H30" s="130"/>
    </row>
    <row r="31" spans="3:8" ht="15">
      <c r="C31" s="131">
        <f>CONCATENATE("distance[FINAL] = ",D5-(F4*ROUND(SQRT(F2*2/9.8),1)))</f>
        <v>0</v>
      </c>
      <c r="D31" s="131"/>
      <c r="E31" s="131"/>
      <c r="F31" s="131"/>
      <c r="G31" s="131"/>
      <c r="H31" s="130"/>
    </row>
    <row r="33" spans="3:8" ht="15">
      <c r="C33" s="128" t="s">
        <v>69</v>
      </c>
      <c r="D33" s="128"/>
      <c r="E33" s="128"/>
      <c r="F33" s="128"/>
      <c r="G33" s="128"/>
      <c r="H33" s="128"/>
    </row>
    <row r="34" spans="3:8" ht="27.75" customHeight="1">
      <c r="C34" s="133" t="s">
        <v>71</v>
      </c>
      <c r="D34" s="133"/>
      <c r="E34" s="133"/>
      <c r="F34" s="133"/>
      <c r="G34" s="133"/>
      <c r="H34" s="133"/>
    </row>
    <row r="35" spans="3:8" ht="61.5" customHeight="1">
      <c r="C35" s="134">
        <f>CONCATENATE(ABS(D5-(F4*ROUND(SQRT(F2*2/9.8),1))-(F3*ROUND(SQRT(F2*2/9.8),1))),"m")</f>
        <v>0</v>
      </c>
      <c r="D35" s="134"/>
      <c r="E35" s="134"/>
      <c r="F35" s="134"/>
      <c r="G35" s="134"/>
      <c r="H35" s="134"/>
    </row>
    <row r="36" spans="3:8" ht="15">
      <c r="C36" s="135">
        <f>IF(D5-(F4*ROUND(SQRT(F2*2/9.8),1))-(F3*ROUND(SQRT(F2*2/9.8),1))=0,"(exactly on the tank)",IF(D5-(F4*ROUND(SQRT(F2*2/9.8),1))-(F3*ROUND(SQRT(F2*2/9.8),1))&gt;0,"in front of the tank","behind the tank"))</f>
        <v>0</v>
      </c>
      <c r="D36" s="135"/>
      <c r="E36" s="135"/>
      <c r="F36" s="135"/>
      <c r="G36" s="135"/>
      <c r="H36" s="135"/>
    </row>
  </sheetData>
  <sheetProtection password="CC7A" sheet="1" selectLockedCells="1"/>
  <mergeCells count="34">
    <mergeCell ref="B2:E2"/>
    <mergeCell ref="B3:E3"/>
    <mergeCell ref="B4:E4"/>
    <mergeCell ref="B5:C5"/>
    <mergeCell ref="E5:G5"/>
    <mergeCell ref="C8:H8"/>
    <mergeCell ref="C9:G9"/>
    <mergeCell ref="H9:H14"/>
    <mergeCell ref="C10:G10"/>
    <mergeCell ref="C11:G11"/>
    <mergeCell ref="C12:G12"/>
    <mergeCell ref="C13:G13"/>
    <mergeCell ref="C14:G14"/>
    <mergeCell ref="C16:H16"/>
    <mergeCell ref="C17:G17"/>
    <mergeCell ref="H17:H20"/>
    <mergeCell ref="C18:G18"/>
    <mergeCell ref="C19:G19"/>
    <mergeCell ref="C20:G20"/>
    <mergeCell ref="C22:H22"/>
    <mergeCell ref="C23:G23"/>
    <mergeCell ref="H23:H26"/>
    <mergeCell ref="C24:G24"/>
    <mergeCell ref="C25:G25"/>
    <mergeCell ref="C26:G26"/>
    <mergeCell ref="C28:H28"/>
    <mergeCell ref="C29:G29"/>
    <mergeCell ref="H29:H31"/>
    <mergeCell ref="C30:G30"/>
    <mergeCell ref="C31:G31"/>
    <mergeCell ref="C33:H33"/>
    <mergeCell ref="C34:H34"/>
    <mergeCell ref="C35:H35"/>
    <mergeCell ref="C36:H3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B2:I15"/>
  <sheetViews>
    <sheetView workbookViewId="0" topLeftCell="A1">
      <selection activeCell="E9" sqref="E9"/>
    </sheetView>
  </sheetViews>
  <sheetFormatPr defaultColWidth="9.140625" defaultRowHeight="15"/>
  <cols>
    <col min="1" max="1" width="2.140625" style="58" customWidth="1"/>
    <col min="2" max="2" width="2.28125" style="58" customWidth="1"/>
    <col min="3" max="5" width="7.140625" style="136" customWidth="1"/>
    <col min="6" max="7" width="7.140625" style="137" customWidth="1"/>
    <col min="8" max="9" width="9.140625" style="58" customWidth="1"/>
    <col min="10" max="10" width="2.140625" style="58" customWidth="1"/>
    <col min="11" max="16384" width="9.140625" style="58" customWidth="1"/>
  </cols>
  <sheetData>
    <row r="1" ht="7.5" customHeight="1"/>
    <row r="2" spans="2:9" ht="15" customHeight="1">
      <c r="B2" s="138"/>
      <c r="C2" s="138"/>
      <c r="D2" s="138"/>
      <c r="E2" s="139" t="s">
        <v>72</v>
      </c>
      <c r="F2" s="140" t="s">
        <v>73</v>
      </c>
      <c r="G2" s="140" t="s">
        <v>74</v>
      </c>
      <c r="H2" s="141" t="s">
        <v>75</v>
      </c>
      <c r="I2" s="141" t="s">
        <v>76</v>
      </c>
    </row>
    <row r="3" spans="2:9" ht="15">
      <c r="B3" s="142"/>
      <c r="C3" s="69" t="s">
        <v>77</v>
      </c>
      <c r="D3" s="69" t="s">
        <v>78</v>
      </c>
      <c r="E3" s="139"/>
      <c r="F3" s="140"/>
      <c r="G3" s="140"/>
      <c r="H3" s="141">
        <v>0</v>
      </c>
      <c r="I3" s="141">
        <v>0</v>
      </c>
    </row>
    <row r="4" spans="2:9" ht="15">
      <c r="B4" s="142" t="s">
        <v>79</v>
      </c>
      <c r="C4" s="143">
        <v>40</v>
      </c>
      <c r="D4" s="143">
        <v>0</v>
      </c>
      <c r="E4" s="61">
        <f aca="true" t="shared" si="0" ref="E4:E13">IF(D4&lt;90,D4,IF(AND(90&lt;D4,D4&lt;180),180-D4,IF(AND(180&lt;D4,D4&lt;270),D4-180,IF(AND(270&lt;D4,D4&lt;360),360-D4,"0"))))</f>
        <v>0</v>
      </c>
      <c r="F4" s="144">
        <f aca="true" t="shared" si="1" ref="F4:F13">IF(AND(90&lt;D4,D4&lt;270),-ABS(COS(RADIANS(E4)))*C4,ABS(COS(RADIANS(E4)))*C4)</f>
        <v>40</v>
      </c>
      <c r="G4" s="144">
        <f aca="true" t="shared" si="2" ref="G4:G13">IF(OR(90&gt;D4,D4&gt;270),-ABS(SIN(RADIANS(E4)))*C4,ABS(SIN(RADIANS(E4)))*C4)</f>
        <v>0</v>
      </c>
      <c r="H4" s="141">
        <f aca="true" t="shared" si="3" ref="H4:H13">H3+F4</f>
        <v>40</v>
      </c>
      <c r="I4" s="141">
        <f aca="true" t="shared" si="4" ref="I4:I13">I3+G4</f>
        <v>0</v>
      </c>
    </row>
    <row r="5" spans="2:9" ht="15">
      <c r="B5" s="142" t="s">
        <v>80</v>
      </c>
      <c r="C5" s="143">
        <v>50</v>
      </c>
      <c r="D5" s="143">
        <v>135</v>
      </c>
      <c r="E5" s="61">
        <f t="shared" si="0"/>
        <v>45</v>
      </c>
      <c r="F5" s="144">
        <f t="shared" si="1"/>
        <v>-35.35533905932738</v>
      </c>
      <c r="G5" s="144">
        <f t="shared" si="2"/>
        <v>35.35533905932737</v>
      </c>
      <c r="H5" s="141">
        <f t="shared" si="3"/>
        <v>4.6446609406726225</v>
      </c>
      <c r="I5" s="141">
        <f t="shared" si="4"/>
        <v>35.35533905932737</v>
      </c>
    </row>
    <row r="6" spans="2:9" ht="15">
      <c r="B6" s="142" t="s">
        <v>81</v>
      </c>
      <c r="C6" s="143">
        <v>140</v>
      </c>
      <c r="D6" s="143">
        <v>180</v>
      </c>
      <c r="E6" s="61">
        <f t="shared" si="0"/>
        <v>0</v>
      </c>
      <c r="F6" s="144">
        <f t="shared" si="1"/>
        <v>-140</v>
      </c>
      <c r="G6" s="144">
        <f t="shared" si="2"/>
        <v>0</v>
      </c>
      <c r="H6" s="141">
        <f t="shared" si="3"/>
        <v>-135.35533905932738</v>
      </c>
      <c r="I6" s="141">
        <f t="shared" si="4"/>
        <v>35.35533905932737</v>
      </c>
    </row>
    <row r="7" spans="2:9" ht="15">
      <c r="B7" s="142" t="s">
        <v>82</v>
      </c>
      <c r="C7" s="143">
        <v>80</v>
      </c>
      <c r="D7" s="143">
        <v>300</v>
      </c>
      <c r="E7" s="61">
        <f t="shared" si="0"/>
        <v>60</v>
      </c>
      <c r="F7" s="144">
        <f t="shared" si="1"/>
        <v>40.00000000000001</v>
      </c>
      <c r="G7" s="144">
        <f t="shared" si="2"/>
        <v>-69.28203230275508</v>
      </c>
      <c r="H7" s="141">
        <f t="shared" si="3"/>
        <v>-95.35533905932738</v>
      </c>
      <c r="I7" s="141">
        <f t="shared" si="4"/>
        <v>-33.926693243427714</v>
      </c>
    </row>
    <row r="8" spans="2:9" ht="15">
      <c r="B8" s="142" t="s">
        <v>83</v>
      </c>
      <c r="C8" s="143"/>
      <c r="D8" s="143"/>
      <c r="E8" s="61">
        <f t="shared" si="0"/>
        <v>0</v>
      </c>
      <c r="F8" s="144">
        <f t="shared" si="1"/>
        <v>0</v>
      </c>
      <c r="G8" s="144">
        <f t="shared" si="2"/>
        <v>0</v>
      </c>
      <c r="H8" s="141">
        <f t="shared" si="3"/>
        <v>-95.35533905932738</v>
      </c>
      <c r="I8" s="141">
        <f t="shared" si="4"/>
        <v>-33.926693243427714</v>
      </c>
    </row>
    <row r="9" spans="2:9" ht="15">
      <c r="B9" s="142" t="s">
        <v>84</v>
      </c>
      <c r="C9" s="143"/>
      <c r="D9" s="143"/>
      <c r="E9" s="61">
        <f t="shared" si="0"/>
        <v>0</v>
      </c>
      <c r="F9" s="144">
        <f t="shared" si="1"/>
        <v>0</v>
      </c>
      <c r="G9" s="144">
        <f t="shared" si="2"/>
        <v>0</v>
      </c>
      <c r="H9" s="141">
        <f t="shared" si="3"/>
        <v>-95.35533905932738</v>
      </c>
      <c r="I9" s="141">
        <f t="shared" si="4"/>
        <v>-33.926693243427714</v>
      </c>
    </row>
    <row r="10" spans="2:9" ht="15">
      <c r="B10" s="142" t="s">
        <v>85</v>
      </c>
      <c r="C10" s="143"/>
      <c r="D10" s="143"/>
      <c r="E10" s="61">
        <f t="shared" si="0"/>
        <v>0</v>
      </c>
      <c r="F10" s="144">
        <f t="shared" si="1"/>
        <v>0</v>
      </c>
      <c r="G10" s="144">
        <f t="shared" si="2"/>
        <v>0</v>
      </c>
      <c r="H10" s="141">
        <f t="shared" si="3"/>
        <v>-95.35533905932738</v>
      </c>
      <c r="I10" s="141">
        <f t="shared" si="4"/>
        <v>-33.926693243427714</v>
      </c>
    </row>
    <row r="11" spans="2:9" ht="15">
      <c r="B11" s="142" t="s">
        <v>86</v>
      </c>
      <c r="C11" s="143"/>
      <c r="D11" s="143"/>
      <c r="E11" s="61">
        <f t="shared" si="0"/>
        <v>0</v>
      </c>
      <c r="F11" s="144">
        <f t="shared" si="1"/>
        <v>0</v>
      </c>
      <c r="G11" s="144">
        <f t="shared" si="2"/>
        <v>0</v>
      </c>
      <c r="H11" s="141">
        <f t="shared" si="3"/>
        <v>-95.35533905932738</v>
      </c>
      <c r="I11" s="141">
        <f t="shared" si="4"/>
        <v>-33.926693243427714</v>
      </c>
    </row>
    <row r="12" spans="2:9" ht="15">
      <c r="B12" s="142" t="s">
        <v>87</v>
      </c>
      <c r="C12" s="143"/>
      <c r="D12" s="143"/>
      <c r="E12" s="61">
        <f t="shared" si="0"/>
        <v>0</v>
      </c>
      <c r="F12" s="144">
        <f t="shared" si="1"/>
        <v>0</v>
      </c>
      <c r="G12" s="144">
        <f t="shared" si="2"/>
        <v>0</v>
      </c>
      <c r="H12" s="141">
        <f t="shared" si="3"/>
        <v>-95.35533905932738</v>
      </c>
      <c r="I12" s="141">
        <f t="shared" si="4"/>
        <v>-33.926693243427714</v>
      </c>
    </row>
    <row r="13" spans="2:9" ht="15">
      <c r="B13" s="142" t="s">
        <v>88</v>
      </c>
      <c r="C13" s="143"/>
      <c r="D13" s="143"/>
      <c r="E13" s="61">
        <f t="shared" si="0"/>
        <v>0</v>
      </c>
      <c r="F13" s="144">
        <f t="shared" si="1"/>
        <v>0</v>
      </c>
      <c r="G13" s="144">
        <f t="shared" si="2"/>
        <v>0</v>
      </c>
      <c r="H13" s="141">
        <f t="shared" si="3"/>
        <v>-95.35533905932738</v>
      </c>
      <c r="I13" s="141">
        <f t="shared" si="4"/>
        <v>-33.926693243427714</v>
      </c>
    </row>
    <row r="14" spans="2:7" ht="15">
      <c r="B14" s="142" t="s">
        <v>89</v>
      </c>
      <c r="C14" s="145">
        <f>SQRT(F14^2+G14^2)</f>
        <v>101.21097372099987</v>
      </c>
      <c r="D14" s="145">
        <f>IF(F14&gt;0,IF(G14&gt;0,DEGREES(ATAN(G14/F14)),360-DEGREES(ATAN(G14/F14))),IF(G14&gt;0,180-DEGREES(ATAN(G14/F14)),180+DEGREES(ATAN(G14/F14))))</f>
        <v>199.5851658779489</v>
      </c>
      <c r="E14" s="146"/>
      <c r="F14" s="147">
        <f>SUM(F4:F13)</f>
        <v>-95.35533905932738</v>
      </c>
      <c r="G14" s="147">
        <f>SUM(G4:G13)</f>
        <v>-33.926693243427714</v>
      </c>
    </row>
    <row r="15" spans="3:4" ht="15">
      <c r="C15" s="148" t="s">
        <v>90</v>
      </c>
      <c r="D15" s="148" t="s">
        <v>91</v>
      </c>
    </row>
  </sheetData>
  <sheetProtection password="CC7A" sheet="1" selectLockedCells="1"/>
  <mergeCells count="4">
    <mergeCell ref="B2:D2"/>
    <mergeCell ref="E2:E3"/>
    <mergeCell ref="F2:F3"/>
    <mergeCell ref="G2:G3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0"/>
  <sheetViews>
    <sheetView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2.140625" style="32" customWidth="1"/>
    <col min="2" max="2" width="23.7109375" style="32" customWidth="1"/>
    <col min="3" max="3" width="9.140625" style="32" customWidth="1"/>
    <col min="4" max="5" width="3.00390625" style="32" customWidth="1"/>
    <col min="6" max="6" width="55.57421875" style="32" customWidth="1"/>
    <col min="7" max="8" width="9.140625" style="32" customWidth="1"/>
    <col min="9" max="9" width="6.421875" style="32" customWidth="1"/>
    <col min="10" max="16384" width="9.140625" style="32" customWidth="1"/>
  </cols>
  <sheetData>
    <row r="1" ht="8.25" customHeight="1"/>
    <row r="2" spans="2:5" ht="17.25">
      <c r="B2" s="149" t="s">
        <v>92</v>
      </c>
      <c r="C2" s="150">
        <v>9.8</v>
      </c>
      <c r="D2" s="151" t="s">
        <v>93</v>
      </c>
      <c r="E2" s="151"/>
    </row>
    <row r="3" spans="2:5" ht="15.75">
      <c r="B3" s="152" t="s">
        <v>94</v>
      </c>
      <c r="C3" s="153">
        <v>800</v>
      </c>
      <c r="D3" s="154" t="s">
        <v>95</v>
      </c>
      <c r="E3" s="155"/>
    </row>
    <row r="4" ht="7.5" customHeight="1">
      <c r="B4" s="156"/>
    </row>
    <row r="5" ht="7.5" customHeight="1">
      <c r="B5" s="156"/>
    </row>
    <row r="6" spans="3:9" ht="17.25">
      <c r="C6" s="157" t="s">
        <v>96</v>
      </c>
      <c r="D6" s="157"/>
      <c r="E6" s="157"/>
      <c r="F6" s="157"/>
      <c r="G6" s="158">
        <v>9</v>
      </c>
      <c r="H6" s="159" t="s">
        <v>97</v>
      </c>
      <c r="I6" s="158" t="s">
        <v>98</v>
      </c>
    </row>
    <row r="7" spans="3:9" ht="15.75">
      <c r="C7" s="160" t="s">
        <v>99</v>
      </c>
      <c r="D7" s="160"/>
      <c r="E7" s="160"/>
      <c r="F7" s="160"/>
      <c r="G7" s="160"/>
      <c r="H7" s="160"/>
      <c r="I7" s="161" t="str">
        <f>CONCATENATE(ROUND(ABS(C3*IF(LEFT(I6,1)="u",G6,-G6)+C3*C2),2),"N")</f>
        <v>640N</v>
      </c>
    </row>
    <row r="8" spans="3:9" ht="15">
      <c r="C8" s="160" t="s">
        <v>100</v>
      </c>
      <c r="D8" s="160"/>
      <c r="E8" s="160"/>
      <c r="F8" s="160"/>
      <c r="G8" s="160"/>
      <c r="H8" s="160"/>
      <c r="I8" s="161"/>
    </row>
    <row r="9" spans="3:9" ht="15">
      <c r="C9" s="162">
        <f>CONCATENATE("(",C3,")(",IF(LEFT(I6,1)="u",G6,-G6),") = (",C3,")(",C2,") - T")</f>
        <v>0</v>
      </c>
      <c r="D9" s="162"/>
      <c r="E9" s="162"/>
      <c r="F9" s="162"/>
      <c r="G9" s="162"/>
      <c r="H9" s="162"/>
      <c r="I9" s="161"/>
    </row>
    <row r="10" spans="3:9" ht="15">
      <c r="C10" s="162">
        <f>CONCATENATE(C3*IF(LEFT(I6,1)="u",G6,-G6)," = ",C3*C2," - T")</f>
        <v>0</v>
      </c>
      <c r="D10" s="162"/>
      <c r="E10" s="162"/>
      <c r="F10" s="162"/>
      <c r="G10" s="162"/>
      <c r="H10" s="162"/>
      <c r="I10" s="161"/>
    </row>
    <row r="11" spans="3:9" ht="15">
      <c r="C11" s="162" t="str">
        <f>CONCATENATE(ROUND(ABS(C3*IF(LEFT(I6,1)="u",G6,-G6)+C3*C2),2),"N =  T")</f>
        <v>640N =  T</v>
      </c>
      <c r="D11" s="162"/>
      <c r="E11" s="162"/>
      <c r="F11" s="162"/>
      <c r="G11" s="162"/>
      <c r="H11" s="162"/>
      <c r="I11" s="161"/>
    </row>
    <row r="13" spans="3:9" ht="15.75">
      <c r="C13" s="163" t="s">
        <v>101</v>
      </c>
      <c r="D13" s="163"/>
      <c r="E13" s="163"/>
      <c r="F13" s="163"/>
      <c r="G13" s="163"/>
      <c r="H13" s="164">
        <v>50</v>
      </c>
      <c r="I13" s="159" t="s">
        <v>102</v>
      </c>
    </row>
    <row r="14" spans="3:9" ht="15">
      <c r="C14" s="160" t="s">
        <v>99</v>
      </c>
      <c r="D14" s="160"/>
      <c r="E14" s="160"/>
      <c r="F14" s="160"/>
      <c r="G14" s="160"/>
      <c r="H14" s="160"/>
      <c r="I14" s="165">
        <f>CONCATENATE(ROUND(ABS((C3*C2-H13)/C3),1),"m/s2, ",IF((C3*C2-H13)/C3=0,"at rest",IF((C3*C2-H13)/C3&gt;0,"down","up")))</f>
        <v>0</v>
      </c>
    </row>
    <row r="15" spans="3:9" ht="15">
      <c r="C15" s="160" t="s">
        <v>100</v>
      </c>
      <c r="D15" s="160"/>
      <c r="E15" s="160"/>
      <c r="F15" s="160"/>
      <c r="G15" s="160"/>
      <c r="H15" s="160"/>
      <c r="I15" s="165"/>
    </row>
    <row r="16" spans="3:9" ht="15">
      <c r="C16" s="162">
        <f>CONCATENATE("F[net] = (",C3,")(",C2,") - ",H13)</f>
        <v>0</v>
      </c>
      <c r="D16" s="162"/>
      <c r="E16" s="162"/>
      <c r="F16" s="162"/>
      <c r="G16" s="162"/>
      <c r="H16" s="162"/>
      <c r="I16" s="165"/>
    </row>
    <row r="17" spans="3:9" ht="15">
      <c r="C17" s="162">
        <f>CONCATENATE("F[net] = ",C3*C2," - ",H13)</f>
        <v>0</v>
      </c>
      <c r="D17" s="162"/>
      <c r="E17" s="162"/>
      <c r="F17" s="162"/>
      <c r="G17" s="162"/>
      <c r="H17" s="162"/>
      <c r="I17" s="165"/>
    </row>
    <row r="18" spans="3:9" ht="15">
      <c r="C18" s="162">
        <f>CONCATENATE("F[net] = ",C3*C2-H13)</f>
        <v>0</v>
      </c>
      <c r="D18" s="162"/>
      <c r="E18" s="162"/>
      <c r="F18" s="162"/>
      <c r="G18" s="162"/>
      <c r="H18" s="162"/>
      <c r="I18" s="165"/>
    </row>
    <row r="19" spans="3:9" ht="15">
      <c r="C19" s="162">
        <f>CONCATENATE("(",C3,")(a) = ",C3*C2-H13)</f>
        <v>0</v>
      </c>
      <c r="D19" s="162"/>
      <c r="E19" s="162"/>
      <c r="F19" s="162"/>
      <c r="G19" s="162"/>
      <c r="H19" s="162"/>
      <c r="I19" s="165"/>
    </row>
    <row r="20" spans="3:9" ht="15">
      <c r="C20" s="162">
        <f>CONCATENATE("a = ",(C3*C2-H13)/C3)</f>
        <v>0</v>
      </c>
      <c r="D20" s="162"/>
      <c r="E20" s="162"/>
      <c r="F20" s="162"/>
      <c r="G20" s="162"/>
      <c r="H20" s="162"/>
      <c r="I20" s="165"/>
    </row>
  </sheetData>
  <sheetProtection password="CC7A" sheet="1" selectLockedCells="1"/>
  <mergeCells count="17">
    <mergeCell ref="D2:E2"/>
    <mergeCell ref="C6:F6"/>
    <mergeCell ref="C7:H7"/>
    <mergeCell ref="I7:I11"/>
    <mergeCell ref="C8:H8"/>
    <mergeCell ref="C9:H9"/>
    <mergeCell ref="C10:H10"/>
    <mergeCell ref="C11:H11"/>
    <mergeCell ref="C13:G13"/>
    <mergeCell ref="C14:H14"/>
    <mergeCell ref="I14:I20"/>
    <mergeCell ref="C15:H15"/>
    <mergeCell ref="C16:H16"/>
    <mergeCell ref="C17:H17"/>
    <mergeCell ref="C18:H18"/>
    <mergeCell ref="C19:H19"/>
    <mergeCell ref="C20:H20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Guissmo Asuncion</dc:creator>
  <cp:keywords/>
  <dc:description/>
  <cp:lastModifiedBy/>
  <dcterms:created xsi:type="dcterms:W3CDTF">2007-09-05T11:53:52Z</dcterms:created>
  <dcterms:modified xsi:type="dcterms:W3CDTF">2023-12-20T17:36:30Z</dcterms:modified>
  <cp:category/>
  <cp:version/>
  <cp:contentType/>
  <cp:contentStatus/>
  <cp:revision>9</cp:revision>
</cp:coreProperties>
</file>